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0920" windowHeight="8595" tabRatio="943" firstSheet="2" activeTab="4"/>
  </bookViews>
  <sheets>
    <sheet name="TB05" sheetId="1" state="hidden" r:id="rId1"/>
    <sheet name="TB06" sheetId="2" state="hidden" r:id="rId2"/>
    <sheet name="IS" sheetId="3" r:id="rId3"/>
    <sheet name="IS-F" sheetId="4" r:id="rId4"/>
    <sheet name="SCNA" sheetId="5" r:id="rId5"/>
    <sheet name="CFS - DIRECT" sheetId="6" r:id="rId6"/>
    <sheet name="BS" sheetId="7" r:id="rId7"/>
    <sheet name="BudVsActN" sheetId="8" r:id="rId8"/>
    <sheet name="BudVsActF" sheetId="9" r:id="rId9"/>
    <sheet name="Consolidated Trial Balance 2016" sheetId="10" r:id="rId10"/>
    <sheet name="valuation" sheetId="11" r:id="rId11"/>
    <sheet name="PPE1" sheetId="12" r:id="rId12"/>
    <sheet name="ExpAnaly1" sheetId="13" r:id="rId13"/>
    <sheet name="ExpAnaly2" sheetId="14" r:id="rId14"/>
    <sheet name="PPE3" sheetId="15" r:id="rId15"/>
    <sheet name="Risk" sheetId="16" r:id="rId16"/>
    <sheet name="Intang" sheetId="17" r:id="rId17"/>
    <sheet name="Notes" sheetId="18" r:id="rId18"/>
    <sheet name="PPE2" sheetId="19" r:id="rId19"/>
    <sheet name="BudVsActExp" sheetId="20" r:id="rId20"/>
    <sheet name="Segment" sheetId="21" r:id="rId21"/>
    <sheet name="Capex" sheetId="22" r:id="rId22"/>
    <sheet name="Info Analy" sheetId="23" r:id="rId23"/>
    <sheet name="Int risk" sheetId="24" state="hidden" r:id="rId24"/>
    <sheet name="Sheet1" sheetId="25" r:id="rId25"/>
    <sheet name="Sheet2" sheetId="26" r:id="rId26"/>
  </sheets>
  <externalReferences>
    <externalReference r:id="rId29"/>
    <externalReference r:id="rId30"/>
    <externalReference r:id="rId31"/>
    <externalReference r:id="rId32"/>
    <externalReference r:id="rId33"/>
  </externalReferences>
  <definedNames>
    <definedName name="_xlnm.Print_Area" localSheetId="6">'BS'!$A$1:$I$55</definedName>
    <definedName name="_xlnm.Print_Area" localSheetId="17">'Notes'!$A$1:$I$435</definedName>
    <definedName name="_xlnm.Print_Titles" localSheetId="9">'Consolidated Trial Balance 2016'!$3:$3</definedName>
    <definedName name="_xlnm.Print_Titles" localSheetId="17">'Notes'!$1:$8</definedName>
    <definedName name="_xlnm.Print_Titles" localSheetId="15">'Risk'!$1:$7</definedName>
  </definedNames>
  <calcPr fullCalcOnLoad="1"/>
</workbook>
</file>

<file path=xl/comments18.xml><?xml version="1.0" encoding="utf-8"?>
<comments xmlns="http://schemas.openxmlformats.org/spreadsheetml/2006/main">
  <authors>
    <author>EMMA</author>
  </authors>
  <commentList>
    <comment ref="H32" authorId="0">
      <text>
        <r>
          <rPr>
            <b/>
            <sz val="9"/>
            <rFont val="Tahoma"/>
            <family val="2"/>
          </rPr>
          <t>EMMA:</t>
        </r>
        <r>
          <rPr>
            <sz val="9"/>
            <rFont val="Tahoma"/>
            <family val="2"/>
          </rPr>
          <t xml:space="preserve">
Cash as at 30june 2007 less additions in 2008 (deemed capiatl portion)</t>
        </r>
      </text>
    </comment>
  </commentList>
</comments>
</file>

<file path=xl/sharedStrings.xml><?xml version="1.0" encoding="utf-8"?>
<sst xmlns="http://schemas.openxmlformats.org/spreadsheetml/2006/main" count="9757" uniqueCount="2501">
  <si>
    <t>Salary -Procurement Section</t>
  </si>
  <si>
    <t>222</t>
  </si>
  <si>
    <t>Other long-term capital outlay</t>
  </si>
  <si>
    <t>Finance</t>
  </si>
  <si>
    <t>STATEMENT OF REVENUE AND EXPENSES - BY DEPARTMENTS</t>
  </si>
  <si>
    <t>CAPITAL EXPENDITURE AND ITS FINANCING</t>
  </si>
  <si>
    <t>Category of asset</t>
  </si>
  <si>
    <t>Plant, machinery and equipments</t>
  </si>
  <si>
    <t>Office and residential furniture &amp; equipments</t>
  </si>
  <si>
    <t>Computer equipments</t>
  </si>
  <si>
    <t>Agricture and livestock extension system</t>
  </si>
  <si>
    <t>Infrastructural assets</t>
  </si>
  <si>
    <t>Accumulated surplus/(deficit)</t>
  </si>
  <si>
    <t xml:space="preserve">Software - infrastructure </t>
  </si>
  <si>
    <t>Research and development</t>
  </si>
  <si>
    <t>Interest of financial liabilities</t>
  </si>
  <si>
    <t>NOTE  9</t>
  </si>
  <si>
    <t>Total current portion</t>
  </si>
  <si>
    <t>NOTE  10</t>
  </si>
  <si>
    <t>Communication - Human Resources Director</t>
  </si>
  <si>
    <t>Communication - Human Resources Officer</t>
  </si>
  <si>
    <t>Communication - Transport Officer</t>
  </si>
  <si>
    <t>511005</t>
  </si>
  <si>
    <t>Travelling - Corporate</t>
  </si>
  <si>
    <t>Travelling - Accounting Manager</t>
  </si>
  <si>
    <t>Travelling - Management Accounting</t>
  </si>
  <si>
    <t>Travelling - Financial Accounting</t>
  </si>
  <si>
    <t>Travelling - Procurement Manager</t>
  </si>
  <si>
    <t>Travelling - Procurement Section</t>
  </si>
  <si>
    <t>Travelling - Logistics Section</t>
  </si>
  <si>
    <t>Travelling - Materials &amp; services Supt</t>
  </si>
  <si>
    <t>Travelling -Technical Director's Office</t>
  </si>
  <si>
    <t>Travelling - Production Manager's Office</t>
  </si>
  <si>
    <t>Travelling - Crushing</t>
  </si>
  <si>
    <t>Travelling - Raw Milling</t>
  </si>
  <si>
    <t>Travelling - Cement Grinding</t>
  </si>
  <si>
    <t>Travelling - Clinker Burning</t>
  </si>
  <si>
    <t>Travelling - Packing Plant</t>
  </si>
  <si>
    <t>Travelling - Maintenance Manager' Office</t>
  </si>
  <si>
    <t>Travelling - Mechanical Supt.</t>
  </si>
  <si>
    <t>Travelling - Civil Eng. Supt</t>
  </si>
  <si>
    <t>under SIDA import support programme during the  financial year 1988/1989, 1989/1990 and 1990/1991.</t>
  </si>
  <si>
    <t xml:space="preserve">The  loan carries  an  interest  of  10%  per  annum on the outstanding balance and  is  payable in </t>
  </si>
  <si>
    <t>SHORT TERM FINANCIAL LIABILITIES</t>
  </si>
  <si>
    <t xml:space="preserve">semi annual equal instalments of Tshs 25,181,921  for a period  of  20  years. </t>
  </si>
  <si>
    <t>Tax expense:</t>
  </si>
  <si>
    <t>RESULTS BEFORE TAXES</t>
  </si>
  <si>
    <t>Profit before tax is stated after charging:</t>
  </si>
  <si>
    <t>Auditors' renumeration</t>
  </si>
  <si>
    <t>Directors' renumeration</t>
  </si>
  <si>
    <t>EMPLOYEES</t>
  </si>
  <si>
    <t>Less: Opening deferred tax liability</t>
  </si>
  <si>
    <t>i)</t>
  </si>
  <si>
    <t>ii)</t>
  </si>
  <si>
    <t>iii)</t>
  </si>
  <si>
    <t>31.12.2004</t>
  </si>
  <si>
    <t>Directors' Fees</t>
  </si>
  <si>
    <t>511016</t>
  </si>
  <si>
    <t>Accumulated depreciation and Accumulated impairment</t>
  </si>
  <si>
    <t xml:space="preserve">Cost / Revaluation </t>
  </si>
  <si>
    <t>Carrying value</t>
  </si>
  <si>
    <t>01 July</t>
  </si>
  <si>
    <t>30 June</t>
  </si>
  <si>
    <t xml:space="preserve">Impairment </t>
  </si>
  <si>
    <t>charge</t>
  </si>
  <si>
    <t>511021</t>
  </si>
  <si>
    <t>Research &amp; Development</t>
  </si>
  <si>
    <t>511022</t>
  </si>
  <si>
    <t>Board Meeting Expenses</t>
  </si>
  <si>
    <t>511023</t>
  </si>
  <si>
    <t>200</t>
  </si>
  <si>
    <t>Expenditure</t>
  </si>
  <si>
    <t>Tangible fixed assets depreciation - operating</t>
  </si>
  <si>
    <t>Other interest &amp; similar income</t>
  </si>
  <si>
    <t>Interest expenses on other financial liabilities</t>
  </si>
  <si>
    <t>Share of associates surplus/(deficit)</t>
  </si>
  <si>
    <t>Amortisation of recurrent grants</t>
  </si>
  <si>
    <t>Land and Buildings - Depreciation</t>
  </si>
  <si>
    <t>REHABILITATION</t>
  </si>
  <si>
    <t>IN STOCK</t>
  </si>
  <si>
    <t>IN</t>
  </si>
  <si>
    <t>FURNITURE</t>
  </si>
  <si>
    <t>As  At  01.01.2005</t>
  </si>
  <si>
    <t>Disposals  During  the  Year</t>
  </si>
  <si>
    <t>As  At  30.12.2005</t>
  </si>
  <si>
    <t>On  Disposals</t>
  </si>
  <si>
    <t>AS  AT  30.12.2005</t>
  </si>
  <si>
    <t>i) MORTGAGE</t>
  </si>
  <si>
    <t>Land and buildings are mortgaged as security for short-term loan and overdraft facilities. Refer to Note 6</t>
  </si>
  <si>
    <t>ii) FIXED ASSET REVALUATION</t>
  </si>
  <si>
    <t xml:space="preserve">In June, 1987, Factory Plant and Machinery were revalued by a firm of professional valuers Messrs Martin Heyman and Co. Ltd of P O Box 9333 </t>
  </si>
  <si>
    <t xml:space="preserve">Dar es Salaam. The method of valuation used for this purpose was depreciated replacement cost. If the Factory Plant and Machinery had not been </t>
  </si>
  <si>
    <t>revalued, it would have a net book value of TShs.20,026,833,000.</t>
  </si>
  <si>
    <t xml:space="preserve">NOTES TO THE FINANCIAL STATEMENTS FOR THE PERIOD ENDED </t>
  </si>
  <si>
    <t>31 DECEMBER 2005</t>
  </si>
  <si>
    <t>NOTE  3</t>
  </si>
  <si>
    <t>Raw materials, Additives and consumables</t>
  </si>
  <si>
    <t>Finished goods and goods for sale</t>
  </si>
  <si>
    <t>NOTE  4</t>
  </si>
  <si>
    <t>NOTE  5</t>
  </si>
  <si>
    <t>OTHER SHORT TERM OPERATING RECEIVABLES</t>
  </si>
  <si>
    <t>NOTE  6</t>
  </si>
  <si>
    <t>SHARE CAPITAL</t>
  </si>
  <si>
    <t>Shareholder</t>
  </si>
  <si>
    <t>No. of Shares</t>
  </si>
  <si>
    <t>Mr Jean - Marc Junon</t>
  </si>
  <si>
    <t>Mr Arne - Jorg Selen</t>
  </si>
  <si>
    <t>Mr Klaus Hvassing</t>
  </si>
  <si>
    <t>NOTE  7</t>
  </si>
  <si>
    <t>Gross Sales - Subtotal</t>
  </si>
  <si>
    <t>Basic salaries - pensionable posts</t>
  </si>
  <si>
    <t>Basic salaries - non pensionable posts</t>
  </si>
  <si>
    <t>Employment allowances</t>
  </si>
  <si>
    <t>Medical supplies and services</t>
  </si>
  <si>
    <t>Office supplies and services</t>
  </si>
  <si>
    <t>Rental expenses</t>
  </si>
  <si>
    <t>Training expenses</t>
  </si>
  <si>
    <t>Travel and subsistence</t>
  </si>
  <si>
    <t>Utilities</t>
  </si>
  <si>
    <t>Other goods and services</t>
  </si>
  <si>
    <t>Maintenance expenses</t>
  </si>
  <si>
    <t>MAINTENANCE EXPENSES</t>
  </si>
  <si>
    <t>Physical infrastructure</t>
  </si>
  <si>
    <t>Vehicles and mobile equipment</t>
  </si>
  <si>
    <t>Fuel and oils</t>
  </si>
  <si>
    <t>Communication and information, supplies and services</t>
  </si>
  <si>
    <t>Educational material, supplies and services</t>
  </si>
  <si>
    <t>Technical equipment</t>
  </si>
  <si>
    <t>Meals - Distribution</t>
  </si>
  <si>
    <t>Meals - Human Resources Director</t>
  </si>
  <si>
    <t>Meals - Human Resources Officer</t>
  </si>
  <si>
    <t>Meals - Transport</t>
  </si>
  <si>
    <t>510101</t>
  </si>
  <si>
    <t>Long Service Award</t>
  </si>
  <si>
    <t>510102</t>
  </si>
  <si>
    <t>Best Worker Awards</t>
  </si>
  <si>
    <t>510103</t>
  </si>
  <si>
    <t>Training Expenses</t>
  </si>
  <si>
    <t>510104</t>
  </si>
  <si>
    <t>Medical Expenses</t>
  </si>
  <si>
    <t>510105</t>
  </si>
  <si>
    <t>TUICO Expenses</t>
  </si>
  <si>
    <t>510106</t>
  </si>
  <si>
    <t>Recruitment Costs</t>
  </si>
  <si>
    <t>510107</t>
  </si>
  <si>
    <t>Incentives - Corporate</t>
  </si>
  <si>
    <t>Incentives - Accounting Manager</t>
  </si>
  <si>
    <t>Incentives - Management Accounting</t>
  </si>
  <si>
    <t>Incentives - Financial Accounting</t>
  </si>
  <si>
    <t>Incentives - Procurement Manager</t>
  </si>
  <si>
    <t>Incentives -Procurement Section</t>
  </si>
  <si>
    <t>Incentives - Logistics Section</t>
  </si>
  <si>
    <t>Incentives - Materials &amp; services Supt</t>
  </si>
  <si>
    <t>Incentives -Technical Director's Office</t>
  </si>
  <si>
    <t>Incentives - Production Manager's Office</t>
  </si>
  <si>
    <t>Incentives - Crushing</t>
  </si>
  <si>
    <t>Incentives - Raw Milling</t>
  </si>
  <si>
    <t>Incentives - Cement Grinding</t>
  </si>
  <si>
    <t>Incentives - Clinker Burning</t>
  </si>
  <si>
    <t>Incentives - Packing Plant</t>
  </si>
  <si>
    <t>Incentives - Maintenance Manager' Office</t>
  </si>
  <si>
    <t>Incentives - Mechanical Supt.</t>
  </si>
  <si>
    <t>Incentives - Civil Eng. Supt</t>
  </si>
  <si>
    <t>b</t>
  </si>
  <si>
    <t>prompt payment of outstanding liabilities and forward purchase of foreign currencies.</t>
  </si>
  <si>
    <t>through the use of overdraft facilities and short term loans.</t>
  </si>
  <si>
    <t>significant concentration of credit risk that has not been  adequately provided for.</t>
  </si>
  <si>
    <t>AS  AT  31.12.2004</t>
  </si>
  <si>
    <t xml:space="preserve">Trade debtors are presented net of allowance for doubtful debts. </t>
  </si>
  <si>
    <t>Travelling - Preventive Maintenance</t>
  </si>
  <si>
    <t>Travelling - Electrical Supt</t>
  </si>
  <si>
    <t>Travelling - Quality Control Manager</t>
  </si>
  <si>
    <t>Travelling - Process Supt</t>
  </si>
  <si>
    <t>Travelling - Mines Supt</t>
  </si>
  <si>
    <t>Travelling - Lab Supt</t>
  </si>
  <si>
    <t>Travelling - Commercial Director</t>
  </si>
  <si>
    <t>Travelling - Sales Supt</t>
  </si>
  <si>
    <t>Travelling - Distribution Supt</t>
  </si>
  <si>
    <t>Travelling - Market Supt</t>
  </si>
  <si>
    <t>Travelling - Human Resources Director</t>
  </si>
  <si>
    <t>Total other short-term operating receivables</t>
  </si>
  <si>
    <t>Total trade  and other receivables</t>
  </si>
  <si>
    <t>Cash at Bank and on hand</t>
  </si>
  <si>
    <t>cash and cash equivalents</t>
  </si>
  <si>
    <t>Total balance sheet (assets)</t>
  </si>
  <si>
    <t>Subscribed share capital</t>
  </si>
  <si>
    <t>Reserves</t>
  </si>
  <si>
    <t>Net income</t>
  </si>
  <si>
    <t>Total reserves</t>
  </si>
  <si>
    <t>Total equity and minority interest</t>
  </si>
  <si>
    <t>Provision for pensions and similar obligations</t>
  </si>
  <si>
    <t>Material  on  Loan  Mbeya/Tanga</t>
  </si>
  <si>
    <t>Scancem  International  Ans</t>
  </si>
  <si>
    <t>Swedfund International AB</t>
  </si>
  <si>
    <t>MIC  (T)  Ltd</t>
  </si>
  <si>
    <t>VODACOM Tanzania Ltd</t>
  </si>
  <si>
    <t xml:space="preserve">TRA Customs &amp; Excise </t>
  </si>
  <si>
    <t>Overtime - Electrical Supt</t>
  </si>
  <si>
    <t>Overtime - Quality Control Manager</t>
  </si>
  <si>
    <t>Overtime - Process Supt</t>
  </si>
  <si>
    <t>Overtime - Mines Supt</t>
  </si>
  <si>
    <t>Overtime - Lab Supt</t>
  </si>
  <si>
    <t>Overtime - Commercial Director</t>
  </si>
  <si>
    <t>Overtime - Sales Supt</t>
  </si>
  <si>
    <t>Overtime - Distribution Supt</t>
  </si>
  <si>
    <t>Overtime - Market Supt</t>
  </si>
  <si>
    <t>Overtime - Human Resources Director</t>
  </si>
  <si>
    <t>Overtime - Human Resources Officer</t>
  </si>
  <si>
    <t>Overtime - Transport Officer</t>
  </si>
  <si>
    <t>510002</t>
  </si>
  <si>
    <t>Pension - Corporate</t>
  </si>
  <si>
    <t>Pension - Accounting Manager</t>
  </si>
  <si>
    <t>Pension - Management Accounting</t>
  </si>
  <si>
    <t>Pension - Financial Accounting</t>
  </si>
  <si>
    <t>Pension - Procurement Manager</t>
  </si>
  <si>
    <t>Pension - Procurement Section</t>
  </si>
  <si>
    <t>Pension - Logistics Section</t>
  </si>
  <si>
    <t>Pension - Materials &amp; Services Supt</t>
  </si>
  <si>
    <t>Pension -Technical Director's Office</t>
  </si>
  <si>
    <t>Pension - Production Manager's Office</t>
  </si>
  <si>
    <t>Pension - Crushing</t>
  </si>
  <si>
    <t>Pension - Raw Milling</t>
  </si>
  <si>
    <t>Pension - Cement Grinding</t>
  </si>
  <si>
    <t>Pension - Clinker Burning</t>
  </si>
  <si>
    <t>Pension - Packing Plant</t>
  </si>
  <si>
    <t>Playing grounds</t>
  </si>
  <si>
    <t>Parks and gardens</t>
  </si>
  <si>
    <t>Forest and nursery</t>
  </si>
  <si>
    <t>Shallow wells</t>
  </si>
  <si>
    <t>Program</t>
  </si>
  <si>
    <t>NOTE 20</t>
  </si>
  <si>
    <t>Staff Assurance Pension Scheme</t>
  </si>
  <si>
    <t>310300</t>
  </si>
  <si>
    <t>Salary Control Account</t>
  </si>
  <si>
    <t>310301</t>
  </si>
  <si>
    <t xml:space="preserve">During the period, dividends relating to the profits for the year ended 31 December 2004 of TZS 1,000.43 </t>
  </si>
  <si>
    <t xml:space="preserve">per share (totaling TZS 1,800,000,000) were declared and paid. </t>
  </si>
  <si>
    <t>NOTE 21</t>
  </si>
  <si>
    <t>The company contributes to a pension scheme administered by the Parastatal Pension Fund</t>
  </si>
  <si>
    <t xml:space="preserve">In adition to that, the company has an endowment scheme administered by the National Insurance </t>
  </si>
  <si>
    <t>NOTE 22</t>
  </si>
  <si>
    <t>Transfers</t>
  </si>
  <si>
    <t>Reccurent grant (From the Government)</t>
  </si>
  <si>
    <t>Personnel Emoluments</t>
  </si>
  <si>
    <t>Other charges</t>
  </si>
  <si>
    <t>Investment in Local Government Loans Board (LGLB)</t>
  </si>
  <si>
    <t>The following assets are being used but with no value assigned to them (including the assets transferred from the Ministry of Education, which have been marked by a '***'). Management is working towards revaluing these assets.</t>
  </si>
  <si>
    <t>STATEMENT OF REVENUE AND EXPENSES - BY DEPARTMENTS (Continued)</t>
  </si>
  <si>
    <t>210001</t>
  </si>
  <si>
    <t>Deferred Tax on Revaluation of Assets</t>
  </si>
  <si>
    <t>211000</t>
  </si>
  <si>
    <t>Revenue Reserves</t>
  </si>
  <si>
    <t>300000</t>
  </si>
  <si>
    <t>Citibank Loan 1</t>
  </si>
  <si>
    <t>301000</t>
  </si>
  <si>
    <t>Note: The final budget was ammended to include the supplementary budget for the available cash balances at the</t>
  </si>
  <si>
    <t>beginning of the year.</t>
  </si>
  <si>
    <t>PROPERTY, PLANT AND EQUIPMENT (Continued)</t>
  </si>
  <si>
    <t>Included in total carrying amount for property, plant and equipment are assets which are still in use but have been fully depreciated.</t>
  </si>
  <si>
    <t>Name of the asset</t>
  </si>
  <si>
    <t>Total trade creditors - consolidated companies</t>
  </si>
  <si>
    <t>Other short term operating payables</t>
  </si>
  <si>
    <t>Endanachan</t>
  </si>
  <si>
    <t>Gidasi</t>
  </si>
  <si>
    <t>Boay</t>
  </si>
  <si>
    <t>Gijeboshka</t>
  </si>
  <si>
    <t>Endamaghay</t>
  </si>
  <si>
    <t>Endadimet</t>
  </si>
  <si>
    <t>Bubu</t>
  </si>
  <si>
    <t>Gidabaghar</t>
  </si>
  <si>
    <t>Gesbert</t>
  </si>
  <si>
    <t>Endagwe</t>
  </si>
  <si>
    <t>Yorotonik</t>
  </si>
  <si>
    <t>Hoshan</t>
  </si>
  <si>
    <t>Sangara</t>
  </si>
  <si>
    <t>Endaberg</t>
  </si>
  <si>
    <t>Hewas</t>
  </si>
  <si>
    <t>Bushnet</t>
  </si>
  <si>
    <t>Long</t>
  </si>
  <si>
    <t>Gabadow</t>
  </si>
  <si>
    <t>Nar</t>
  </si>
  <si>
    <t>Endamanag</t>
  </si>
  <si>
    <t xml:space="preserve">  Qameyu</t>
  </si>
  <si>
    <t>Endaw</t>
  </si>
  <si>
    <t>Utwari</t>
  </si>
  <si>
    <t>Merr</t>
  </si>
  <si>
    <t>Gidangwar</t>
  </si>
  <si>
    <t>Diffir</t>
  </si>
  <si>
    <t>Luxmanda</t>
  </si>
  <si>
    <t>Secheda</t>
  </si>
  <si>
    <t>Orbesh</t>
  </si>
  <si>
    <t>Dareda Kati</t>
  </si>
  <si>
    <t>Hyasam</t>
  </si>
  <si>
    <t>Seloto</t>
  </si>
  <si>
    <t>Loto</t>
  </si>
  <si>
    <t>Gajal</t>
  </si>
  <si>
    <t>Bermi</t>
  </si>
  <si>
    <t>Sharmo</t>
  </si>
  <si>
    <t>Managha</t>
  </si>
  <si>
    <t>Tssayo</t>
  </si>
  <si>
    <t>Endasago</t>
  </si>
  <si>
    <t>Dabir</t>
  </si>
  <si>
    <t>Maganjwa</t>
  </si>
  <si>
    <t>Mandi</t>
  </si>
  <si>
    <t>Gidewari</t>
  </si>
  <si>
    <t>Sabilo</t>
  </si>
  <si>
    <t>Mwikantsi</t>
  </si>
  <si>
    <t>Endagile</t>
  </si>
  <si>
    <t>Gujedabang</t>
  </si>
  <si>
    <t>Kwaraa</t>
  </si>
  <si>
    <t>Endanoga</t>
  </si>
  <si>
    <t>Hellu</t>
  </si>
  <si>
    <t>Gedamar</t>
  </si>
  <si>
    <t>Orng'adida</t>
  </si>
  <si>
    <t>Majengo</t>
  </si>
  <si>
    <t>Endadosh</t>
  </si>
  <si>
    <t>Tsamasi</t>
  </si>
  <si>
    <t>Ngwang'weri</t>
  </si>
  <si>
    <t>Mayomayoka</t>
  </si>
  <si>
    <t>Moya</t>
  </si>
  <si>
    <t>Maweni</t>
  </si>
  <si>
    <t>Manyara</t>
  </si>
  <si>
    <t>Sangaiwe</t>
  </si>
  <si>
    <t>Ngoley</t>
  </si>
  <si>
    <t>Kisangaji</t>
  </si>
  <si>
    <t>Shaurimoyo</t>
  </si>
  <si>
    <t>Vilima Vitatu</t>
  </si>
  <si>
    <t>Minjingu</t>
  </si>
  <si>
    <t>Kakoi</t>
  </si>
  <si>
    <t>Olasiti</t>
  </si>
  <si>
    <t>Masware</t>
  </si>
  <si>
    <t>Matufa</t>
  </si>
  <si>
    <t>Mawe Mairo</t>
  </si>
  <si>
    <t>Mapea</t>
  </si>
  <si>
    <t>Sarame</t>
  </si>
  <si>
    <t>Kiru ndogo</t>
  </si>
  <si>
    <t>Kimara</t>
  </si>
  <si>
    <t>Kiru six</t>
  </si>
  <si>
    <t>Erri</t>
  </si>
  <si>
    <t>Kokomay</t>
  </si>
  <si>
    <t>Staff costs-general &amp; administrative</t>
  </si>
  <si>
    <t>Insurance costs-general &amp; administrative</t>
  </si>
  <si>
    <t>Audit &amp;tax consultancy-general&amp;administrative</t>
  </si>
  <si>
    <t>Consultancy fees-general&amp;administrative</t>
  </si>
  <si>
    <t>Lease payments-general&amp;administrative</t>
  </si>
  <si>
    <t>Other admin. Expenses-general&amp;administrative</t>
  </si>
  <si>
    <t>Management fees-general &amp; administrative</t>
  </si>
  <si>
    <t>Other expenses</t>
  </si>
  <si>
    <t>Total Fixed General &amp; Administrative Costs</t>
  </si>
  <si>
    <t>Total Fixed Costs</t>
  </si>
  <si>
    <t>Income from ancillary business-operating</t>
  </si>
  <si>
    <t>Rent income-operating</t>
  </si>
  <si>
    <t>Gains from sale of tangible assets-operating</t>
  </si>
  <si>
    <t>Write back of provisions(not allocated costs)</t>
  </si>
  <si>
    <t>Other income-operating</t>
  </si>
  <si>
    <t>Losses from sale of tangible assets</t>
  </si>
  <si>
    <t>Increase in provisions(not allocated costs)</t>
  </si>
  <si>
    <t>Non-income taxes</t>
  </si>
  <si>
    <t>Other expenses-operating</t>
  </si>
  <si>
    <t>Grinding Media - Raw Mills</t>
  </si>
  <si>
    <t>Grinding Media - Cement Mills</t>
  </si>
  <si>
    <t>506002</t>
  </si>
  <si>
    <t>Refractories</t>
  </si>
  <si>
    <t>506003</t>
  </si>
  <si>
    <t>506004</t>
  </si>
  <si>
    <t>Grinding Aid</t>
  </si>
  <si>
    <t>506005</t>
  </si>
  <si>
    <t>Total interest on fin.  liab.  and similar expenses</t>
  </si>
  <si>
    <t>Other financial result</t>
  </si>
  <si>
    <t>Result before Taxes</t>
  </si>
  <si>
    <t>Fuel and Oil</t>
  </si>
  <si>
    <t>Central Government</t>
  </si>
  <si>
    <t>Local taxes</t>
  </si>
  <si>
    <t>Land rent</t>
  </si>
  <si>
    <t>Market fees and charges</t>
  </si>
  <si>
    <t>SEGMENTAL INFORMATION - PROPERTY, PLANT AND EQUIPMENT</t>
  </si>
  <si>
    <t>Office machinery</t>
  </si>
  <si>
    <t>School furniture and fittings</t>
  </si>
  <si>
    <t>SEGMENTAL INFORMATION - WARDS AND VILLAGES</t>
  </si>
  <si>
    <t>No.</t>
  </si>
  <si>
    <t>Name of the Ward</t>
  </si>
  <si>
    <t>Villages in the Ward</t>
  </si>
  <si>
    <t>Accelerated depreciation for tax purposes</t>
  </si>
  <si>
    <t>Tax expense</t>
  </si>
  <si>
    <t>Deferred tax charge (release)</t>
  </si>
  <si>
    <t>Accounting profit before taxation</t>
  </si>
  <si>
    <t>Tax applicable rate of 30%</t>
  </si>
  <si>
    <t xml:space="preserve">Tax assessments have been agreed with the Tanzania Revenue Authority up to and </t>
  </si>
  <si>
    <t>TAXATION</t>
  </si>
  <si>
    <t>and services from/through the holding company on an arms-length basis. The Company's purchases during</t>
  </si>
  <si>
    <t>Raw materials</t>
  </si>
  <si>
    <t>Services</t>
  </si>
  <si>
    <t>Goods</t>
  </si>
  <si>
    <t>EMPLOYEE BENEFITS</t>
  </si>
  <si>
    <t>Endowment Scheme</t>
  </si>
  <si>
    <t>Parastal Pension Fund</t>
  </si>
  <si>
    <t>Audit &amp; tax consultancy fees-general &amp; administrative</t>
  </si>
  <si>
    <t>Consultancy fees-general &amp; administrative</t>
  </si>
  <si>
    <t>Lease payments-general &amp; administrative</t>
  </si>
  <si>
    <t>Interest sensitivity gap</t>
  </si>
  <si>
    <t>Within</t>
  </si>
  <si>
    <t>More than</t>
  </si>
  <si>
    <t>5 years</t>
  </si>
  <si>
    <t>3 - 5 years</t>
  </si>
  <si>
    <t>1 - 3 years</t>
  </si>
  <si>
    <t xml:space="preserve">Non -interest </t>
  </si>
  <si>
    <t>TOTAL LIABILITIES</t>
  </si>
  <si>
    <t>INTEREST RATE RISK</t>
  </si>
  <si>
    <t>1 year</t>
  </si>
  <si>
    <t>bearing</t>
  </si>
  <si>
    <t>TZS’000</t>
  </si>
  <si>
    <t>At the beginning of the year</t>
  </si>
  <si>
    <t>At the end of the year</t>
  </si>
  <si>
    <t>hand and deposits in banks, net of outstanding bank overdraft.</t>
  </si>
  <si>
    <t>HOLDING COMPANY</t>
  </si>
  <si>
    <t>Current year profits</t>
  </si>
  <si>
    <t>Wazo  Hill  Savings &amp; Credit  Co-Operative Society</t>
  </si>
  <si>
    <t>Current portion</t>
  </si>
  <si>
    <t xml:space="preserve">on all imported goods for the rehabilitation of Tanzania Portland Cement Company Limited </t>
  </si>
  <si>
    <t>Finished goods and goods for resale</t>
  </si>
  <si>
    <t>Trade receivables</t>
  </si>
  <si>
    <t>Provision for doubtful accounts</t>
  </si>
  <si>
    <t>Total Current Assets</t>
  </si>
  <si>
    <t>LIABILITIES &amp; EQUITY</t>
  </si>
  <si>
    <t>Total equity</t>
  </si>
  <si>
    <t>Total non-current liabilities</t>
  </si>
  <si>
    <t>Interest payable</t>
  </si>
  <si>
    <t>Trade creditors</t>
  </si>
  <si>
    <t>Payables for payroll and related costs</t>
  </si>
  <si>
    <t>Current income taxes payables</t>
  </si>
  <si>
    <t>Turnover</t>
  </si>
  <si>
    <t>Other operating income and charges</t>
  </si>
  <si>
    <t>Foreign exchange losses</t>
  </si>
  <si>
    <t>Interest payable - third party</t>
  </si>
  <si>
    <t>Interest payable - consolidated companies</t>
  </si>
  <si>
    <t>Total interest payable</t>
  </si>
  <si>
    <t>Supplies and consumables used</t>
  </si>
  <si>
    <t>Taxes</t>
  </si>
  <si>
    <t>Fees, fines, penalties and licenses</t>
  </si>
  <si>
    <t>Revenue from exchange transactions</t>
  </si>
  <si>
    <t>Meals - Technical Director</t>
  </si>
  <si>
    <t>Land and buildings</t>
  </si>
  <si>
    <t>Office hall</t>
  </si>
  <si>
    <t>Markets and abbatoirs</t>
  </si>
  <si>
    <t>Pension - Maintenance Manager' Office</t>
  </si>
  <si>
    <t>Pension - Mechanical Supt.</t>
  </si>
  <si>
    <t>Pension - Civil Eng. Supt</t>
  </si>
  <si>
    <t>Pension - Preventive Maintenance</t>
  </si>
  <si>
    <t>Pension - Electrical Supt</t>
  </si>
  <si>
    <t>Pension - Quality Control Manager</t>
  </si>
  <si>
    <t>Pension - Process Supt</t>
  </si>
  <si>
    <t>Pension - Mines Supt</t>
  </si>
  <si>
    <t>Pension - Lab Supt</t>
  </si>
  <si>
    <t>Skill &amp; Development Levy - Cement Grinding</t>
  </si>
  <si>
    <t>Skill &amp; Development Levy - Clinker Burning</t>
  </si>
  <si>
    <t>Other interest and similar expense</t>
  </si>
  <si>
    <t>BALANCE SHEET ITEMS AS AT 31ST DECEMBER 2005</t>
  </si>
  <si>
    <t>Intangible fixed assets</t>
  </si>
  <si>
    <t>Tangible fixed assets</t>
  </si>
  <si>
    <t xml:space="preserve">Land and Buildings - at cost </t>
  </si>
  <si>
    <t>Other own source revenue</t>
  </si>
  <si>
    <t>Education -  Secondary</t>
  </si>
  <si>
    <t>Education -  Primary</t>
  </si>
  <si>
    <t xml:space="preserve">Department. Exposure to losses from foreign liabilities is managed through </t>
  </si>
  <si>
    <t>311001</t>
  </si>
  <si>
    <t>Excise Duty Accrued</t>
  </si>
  <si>
    <t>Post employment benefits</t>
  </si>
  <si>
    <t>311002</t>
  </si>
  <si>
    <t>Stationery - Preventive Maintenance</t>
  </si>
  <si>
    <t>Stationery - Electrical Supt</t>
  </si>
  <si>
    <t>Travelling - Human Resources Officer</t>
  </si>
  <si>
    <t>Travelling - Transport Officer</t>
  </si>
  <si>
    <t>511006</t>
  </si>
  <si>
    <t>Guest House Expenses</t>
  </si>
  <si>
    <t>511007</t>
  </si>
  <si>
    <t>Market Survey</t>
  </si>
  <si>
    <t>511008</t>
  </si>
  <si>
    <t>Commissions and Discounts</t>
  </si>
  <si>
    <t>511009</t>
  </si>
  <si>
    <t>Donations</t>
  </si>
  <si>
    <t>511010</t>
  </si>
  <si>
    <t>Product Claims</t>
  </si>
  <si>
    <t>511011</t>
  </si>
  <si>
    <t>Advertising and Publicity</t>
  </si>
  <si>
    <t>511012</t>
  </si>
  <si>
    <t>Stamp Duty</t>
  </si>
  <si>
    <t>511013</t>
  </si>
  <si>
    <t>Licences - Corporate</t>
  </si>
  <si>
    <t>Licences - Information Technology services</t>
  </si>
  <si>
    <t>Licences - Human Resources Director</t>
  </si>
  <si>
    <t>Licences - Transport</t>
  </si>
  <si>
    <t>511014</t>
  </si>
  <si>
    <t>Insurances</t>
  </si>
  <si>
    <t>511015</t>
  </si>
  <si>
    <t>FINANCIAL COSTS</t>
  </si>
  <si>
    <t>Interest on financial liabilities</t>
  </si>
  <si>
    <t>Tax losses carried forward</t>
  </si>
  <si>
    <t>accounting profit:</t>
  </si>
  <si>
    <t xml:space="preserve">Total amount traded </t>
  </si>
  <si>
    <t>The outcome of the cases depends on the court  ruling.</t>
  </si>
  <si>
    <t xml:space="preserve">Corporation of Tanzania and a voluntary agreement with Tanzania Union of Industrial and Commercial </t>
  </si>
  <si>
    <t xml:space="preserve">length of service. </t>
  </si>
  <si>
    <t xml:space="preserve"> The company contributions during the year are as follows:</t>
  </si>
  <si>
    <t>Both the cost of the endowment scheme and retirement age benefits are fully met by the Company.</t>
  </si>
  <si>
    <t>Previous  year  figures  have  been  regrouped  whenever  considered   necessary   in   order</t>
  </si>
  <si>
    <t>Intangible asset</t>
  </si>
  <si>
    <t>Salaries and allowances</t>
  </si>
  <si>
    <t>Directors' remuneration</t>
  </si>
  <si>
    <t>►Scancem Research AB</t>
  </si>
  <si>
    <t>OTHER STATUTORY PAYROLL REMITTANCES</t>
  </si>
  <si>
    <t>Pay As You Earn</t>
  </si>
  <si>
    <t>Loans to Third Parties - long term</t>
  </si>
  <si>
    <t>110000</t>
  </si>
  <si>
    <t>Clinker Stock - Purchased Locally</t>
  </si>
  <si>
    <t>110001</t>
  </si>
  <si>
    <t>Clinker Stock - Imported</t>
  </si>
  <si>
    <t>110002</t>
  </si>
  <si>
    <t>Gypsum Stock</t>
  </si>
  <si>
    <t>110200</t>
  </si>
  <si>
    <t>Production Work-In-Progress - Limestone</t>
  </si>
  <si>
    <t>110201</t>
  </si>
  <si>
    <t xml:space="preserve">Unapplied Capital receipt </t>
  </si>
  <si>
    <t>Income taxes current year</t>
  </si>
  <si>
    <t>Income taxes prior year</t>
  </si>
  <si>
    <t>Deferred income taxes</t>
  </si>
  <si>
    <t>Total taxes on income</t>
  </si>
  <si>
    <t>Net Income</t>
  </si>
  <si>
    <t>CASH  FLOW  STATEMENT  FOR  THE  YEAR  ENDED 31ST DECEMBER 2005</t>
  </si>
  <si>
    <t xml:space="preserve">T.SHS.'000' </t>
  </si>
  <si>
    <t>Profit / (Loss)  before  Non - Recurring Expenses &amp; Taxation</t>
  </si>
  <si>
    <t>Capital Work in Progress</t>
  </si>
  <si>
    <t xml:space="preserve"> (Profit)/Loss  on  Disposal  of  Fixed  Assets</t>
  </si>
  <si>
    <t>Operating  Profit  before  Changes  in  Working  Capital  Items</t>
  </si>
  <si>
    <t>(Increase)/Decrease  in  Inventories</t>
  </si>
  <si>
    <t>(Increase)/Decrease  in  Accounts  Receivable- Trade</t>
  </si>
  <si>
    <t>Increase/(Decrease)  in  Long-term provisions</t>
  </si>
  <si>
    <t>Increase/(Decrease)  in  Shot-term provisions</t>
  </si>
  <si>
    <t>Increase/(Decrease)  in  Payables for Payroll &amp; Related Costs</t>
  </si>
  <si>
    <t>CASH  FLOWS  FROM/(USED  IN)  OPERATIONS</t>
  </si>
  <si>
    <t>NET  CASH  FLOWS  FROM/(USED  IN)  OPERATING  ACTIVITIES</t>
  </si>
  <si>
    <t>Capital Work in Progress &amp;Rehabilitation  Expenditure</t>
  </si>
  <si>
    <t>Acquisition  of Intangible Fixed  Assets</t>
  </si>
  <si>
    <t>Acquisition  of Tangible Fixed  Assets</t>
  </si>
  <si>
    <t>NET  CASH  FLOWS  FROM(USED  IN)  INVESTING  ACTIVITIES</t>
  </si>
  <si>
    <t>Long  Term  Loan  Paid</t>
  </si>
  <si>
    <t>Proceeds (Repayment)  of  Short  Term  Loan</t>
  </si>
  <si>
    <t>Other administrative expenses - fixed production</t>
  </si>
  <si>
    <t>Handling - Raw mills</t>
  </si>
  <si>
    <t>Costs of fact.  supplies, repair &amp; repl.mat. - fixed</t>
  </si>
  <si>
    <t>Repair &amp; Maint. - Environmental - Kilns</t>
  </si>
  <si>
    <t>Staff costs - sales and marketing</t>
  </si>
  <si>
    <t>Marketing, advertising and sales costs</t>
  </si>
  <si>
    <t>Increase in bad debt provision-sales and marketing</t>
  </si>
  <si>
    <t>Fixed general &amp; administrative costs</t>
  </si>
  <si>
    <t>Other costs of energy - general &amp; administrative</t>
  </si>
  <si>
    <t>Staff costs - general &amp; administrative</t>
  </si>
  <si>
    <t>Fixed Overtime - Materials &amp; services Supt</t>
  </si>
  <si>
    <t>Insurance costs</t>
  </si>
  <si>
    <t>Ayasanda</t>
  </si>
  <si>
    <t>Bashnet</t>
  </si>
  <si>
    <t>Dabil</t>
  </si>
  <si>
    <t>Dareda</t>
  </si>
  <si>
    <t>Duru</t>
  </si>
  <si>
    <t>Gallapo</t>
  </si>
  <si>
    <t>Gidas</t>
  </si>
  <si>
    <t>Kiru</t>
  </si>
  <si>
    <t>Madunga</t>
  </si>
  <si>
    <t>Magara</t>
  </si>
  <si>
    <t>Magugu</t>
  </si>
  <si>
    <t>Mamire</t>
  </si>
  <si>
    <t>Mwada</t>
  </si>
  <si>
    <t>Nkaiti</t>
  </si>
  <si>
    <t>Qash</t>
  </si>
  <si>
    <t>Riroda</t>
  </si>
  <si>
    <t>Ufana</t>
  </si>
  <si>
    <t>Arritsaayo Secondary School</t>
  </si>
  <si>
    <t>Arritsaayo Village</t>
  </si>
  <si>
    <t>Trade creditors - third parties</t>
  </si>
  <si>
    <t>Trade creditors - consolidated companies</t>
  </si>
  <si>
    <t>End-of Year Exchange Differences</t>
  </si>
  <si>
    <t>310110</t>
  </si>
  <si>
    <t>Treasury Loan - current portion</t>
  </si>
  <si>
    <t>310120</t>
  </si>
  <si>
    <t>Interest Payable</t>
  </si>
  <si>
    <t>310200</t>
  </si>
  <si>
    <t>Dividend Payable</t>
  </si>
  <si>
    <t>310201</t>
  </si>
  <si>
    <t>Depreciation of property, plant and equipment</t>
  </si>
  <si>
    <t>INTANGIBLE ASSETS</t>
  </si>
  <si>
    <t>Management Costs</t>
  </si>
  <si>
    <t>511026</t>
  </si>
  <si>
    <t>Entertainment - Corporate</t>
  </si>
  <si>
    <t>Entertainment - Commercial</t>
  </si>
  <si>
    <t>511027</t>
  </si>
  <si>
    <t>Condolences</t>
  </si>
  <si>
    <t>511028</t>
  </si>
  <si>
    <t>Freight Costs - Sales</t>
  </si>
  <si>
    <t>Freight Costs - Distribution</t>
  </si>
  <si>
    <t>511029</t>
  </si>
  <si>
    <t>Received during the year</t>
  </si>
  <si>
    <t xml:space="preserve">For all exports, full upfront payment is demanded. Accordingly, the company has no </t>
  </si>
  <si>
    <t>Property, plant and equipment</t>
  </si>
  <si>
    <t>Current assets</t>
  </si>
  <si>
    <t>Inventories</t>
  </si>
  <si>
    <t>INVENTORIES</t>
  </si>
  <si>
    <t>TRADE RECEIVABLES</t>
  </si>
  <si>
    <t>TOTAL ASSETS</t>
  </si>
  <si>
    <t>Deferred tax provision</t>
  </si>
  <si>
    <t>Deferred Taxation</t>
  </si>
  <si>
    <t>Tax losses</t>
  </si>
  <si>
    <t xml:space="preserve">For the purposes of the cash flow statement, cash and cash equivalents consists of cash on </t>
  </si>
  <si>
    <t>Communication - Accounting Manager</t>
  </si>
  <si>
    <t>Communication - Management Accounting</t>
  </si>
  <si>
    <t>Communication - Financial Accounting</t>
  </si>
  <si>
    <t>Communication - Procurement Manager</t>
  </si>
  <si>
    <t>Communication - Procurement Section</t>
  </si>
  <si>
    <t>Communication - Logistics Section</t>
  </si>
  <si>
    <t>Communication - Materials &amp; services Supt</t>
  </si>
  <si>
    <t>Communication - Info Tech Services</t>
  </si>
  <si>
    <t>Communication -Technical Director's Office</t>
  </si>
  <si>
    <t>Communication - Production Manager's Office</t>
  </si>
  <si>
    <t>Communication - Crushing</t>
  </si>
  <si>
    <t>Communication - Raw Milling</t>
  </si>
  <si>
    <t>Communication - Cement Grinding</t>
  </si>
  <si>
    <t>Communication - Clinker Burning</t>
  </si>
  <si>
    <t>Communication - Packing Plant</t>
  </si>
  <si>
    <t>Communication - Maintenance Manager' Office</t>
  </si>
  <si>
    <t>Communication - Mechanical Supt.</t>
  </si>
  <si>
    <t>Communication - Civil Eng. Supt</t>
  </si>
  <si>
    <t>Communication - Preventive Maintenance</t>
  </si>
  <si>
    <t>Communication - Electrical Supt</t>
  </si>
  <si>
    <t>Communication - Quality Control Manager</t>
  </si>
  <si>
    <t>Communication - Process Supt</t>
  </si>
  <si>
    <t>Cmmunication - Mines Supt</t>
  </si>
  <si>
    <t>Communication - Lab Supt</t>
  </si>
  <si>
    <t>Communication - Commercial Director</t>
  </si>
  <si>
    <t>Communication - Sales Supt</t>
  </si>
  <si>
    <t>Communication - Distribution Supt</t>
  </si>
  <si>
    <t>Communication - Market Supt</t>
  </si>
  <si>
    <t>Deferred Tax Expense</t>
  </si>
  <si>
    <t>Treasury Risk Management</t>
  </si>
  <si>
    <t>Foreign Currency Risk</t>
  </si>
  <si>
    <t>Interest Rate Risk</t>
  </si>
  <si>
    <t>Liquidity Risk</t>
  </si>
  <si>
    <t>Credit Risk Management</t>
  </si>
  <si>
    <t>OTHER FINANCIAL ASSETS</t>
  </si>
  <si>
    <t>Receivables and prepayments</t>
  </si>
  <si>
    <t>Community loans</t>
  </si>
  <si>
    <t>Employee benefits</t>
  </si>
  <si>
    <t>Stationery - Lab Supt</t>
  </si>
  <si>
    <t>TRIAL  BALANCE  AS  AT  31ST DECEMBER 2006</t>
  </si>
  <si>
    <t>110003</t>
  </si>
  <si>
    <t>Iron Ore Stock</t>
  </si>
  <si>
    <t>112050</t>
  </si>
  <si>
    <t>90-Days Fixed Deposit Citibank TZS</t>
  </si>
  <si>
    <t>Land &amp; Buildings - Net Book Value</t>
  </si>
  <si>
    <t>Plant &amp; Equipment - at cost</t>
  </si>
  <si>
    <t>Plant &amp; Equipment - depreciation</t>
  </si>
  <si>
    <t>Plant &amp; Equipment - Net Book Value</t>
  </si>
  <si>
    <t>Other Factory &amp; Office Equipment - at cost</t>
  </si>
  <si>
    <t>Other Factory &amp; Office Equipment - depreciation</t>
  </si>
  <si>
    <t>Other Factory &amp; Office Equipment - Net Book Value</t>
  </si>
  <si>
    <t>Construction in process &amp; Payments on behalf</t>
  </si>
  <si>
    <t>Total tangible fixed assets</t>
  </si>
  <si>
    <t>Total fixed assets</t>
  </si>
  <si>
    <t>Other long-term operating receivables third parties</t>
  </si>
  <si>
    <t>Total other long term assets</t>
  </si>
  <si>
    <t>Total inventories</t>
  </si>
  <si>
    <t>Total trade receivables</t>
  </si>
  <si>
    <t>Other short term operating receivables</t>
  </si>
  <si>
    <t>Secondary school buildings</t>
  </si>
  <si>
    <t>Primary school buildings</t>
  </si>
  <si>
    <t>Ward offices</t>
  </si>
  <si>
    <t>Residential houses</t>
  </si>
  <si>
    <t>Office furniture and fittings</t>
  </si>
  <si>
    <t>Storage cabinet</t>
  </si>
  <si>
    <t>Plant and equipment</t>
  </si>
  <si>
    <t>Computer hardware</t>
  </si>
  <si>
    <t>Valuation equipments</t>
  </si>
  <si>
    <t>Surveying equipments</t>
  </si>
  <si>
    <t>Hospital equipments</t>
  </si>
  <si>
    <t>Duplicating machines</t>
  </si>
  <si>
    <t>Fire brigade equipments</t>
  </si>
  <si>
    <t>Skip baskets</t>
  </si>
  <si>
    <t>Generators</t>
  </si>
  <si>
    <t>Roads and bridges</t>
  </si>
  <si>
    <t>Surface water drainage</t>
  </si>
  <si>
    <t>Street lighting</t>
  </si>
  <si>
    <t>Horticulture units</t>
  </si>
  <si>
    <t>AS  AT  31.12.2006</t>
  </si>
  <si>
    <t>AS  AT  31.12.2005</t>
  </si>
  <si>
    <t>31 DECEMBER 2006</t>
  </si>
  <si>
    <t>Fixed production costs include:</t>
  </si>
  <si>
    <t>179,923,100 Ordinary  Shares of  T.Shs.20 each</t>
  </si>
  <si>
    <t>Tanzanian Public</t>
  </si>
  <si>
    <t>Name of project</t>
  </si>
  <si>
    <t>Source of fund</t>
  </si>
  <si>
    <t>%age completion</t>
  </si>
  <si>
    <t>Major variations between final budget and actual is as follows:</t>
  </si>
  <si>
    <t xml:space="preserve">Original budget comprises of amounts unspent for the previous accounting period and those allocated during the year and </t>
  </si>
  <si>
    <t>approved by the Counselors at the budget meeting.</t>
  </si>
  <si>
    <t>Information Technology Supplies and Services</t>
  </si>
  <si>
    <t>511024</t>
  </si>
  <si>
    <t>Propety Leases and Rentals</t>
  </si>
  <si>
    <t>511025</t>
  </si>
  <si>
    <t>Wages, salaries and employee benefits</t>
  </si>
  <si>
    <t>Balance at year end</t>
  </si>
  <si>
    <t>Audit Fees and Expenses</t>
  </si>
  <si>
    <t>511017</t>
  </si>
  <si>
    <t>Public Relations - Managing Director</t>
  </si>
  <si>
    <t>Public Relations - Corporate Planning</t>
  </si>
  <si>
    <t>Public Relations - Commercial Division</t>
  </si>
  <si>
    <t>511018</t>
  </si>
  <si>
    <t>Subscriptions</t>
  </si>
  <si>
    <t>511019</t>
  </si>
  <si>
    <t>Legal Costs - Corporate</t>
  </si>
  <si>
    <t>Legal Costs - Human Resources</t>
  </si>
  <si>
    <t>511020</t>
  </si>
  <si>
    <t>Investigations</t>
  </si>
  <si>
    <t>Total other short term operating receivables</t>
  </si>
  <si>
    <t>Other short term operating payables:</t>
  </si>
  <si>
    <t>►Swedfund International AB</t>
  </si>
  <si>
    <t>Other Receivables:</t>
  </si>
  <si>
    <t>►Scancem International ANS</t>
  </si>
  <si>
    <t>NOTE 19</t>
  </si>
  <si>
    <t xml:space="preserve">The company's ultimate holding company is HeidelbergCement AG - Germany and immediate holding </t>
  </si>
  <si>
    <t>Dispensaries and health centres</t>
  </si>
  <si>
    <t>Salary - Logistics Section</t>
  </si>
  <si>
    <t>223</t>
  </si>
  <si>
    <t>Salary - Materials &amp; services Supt</t>
  </si>
  <si>
    <t>Salary -Technical Director's Office</t>
  </si>
  <si>
    <t>310</t>
  </si>
  <si>
    <t xml:space="preserve">RECURRENT GRANTS </t>
  </si>
  <si>
    <t>Balance at the beginning of the year</t>
  </si>
  <si>
    <t>Personnel emoluments</t>
  </si>
  <si>
    <t>Health basket</t>
  </si>
  <si>
    <t>Capitation</t>
  </si>
  <si>
    <t>Revenue compensation</t>
  </si>
  <si>
    <t xml:space="preserve">TACAIDS </t>
  </si>
  <si>
    <t>Amortisation for the year</t>
  </si>
  <si>
    <t>Balance at the end of the year</t>
  </si>
  <si>
    <t>Deferred interest income</t>
  </si>
  <si>
    <t>Total deferred interest income</t>
  </si>
  <si>
    <t>Total short-term financial liabilities</t>
  </si>
  <si>
    <t xml:space="preserve">charge </t>
  </si>
  <si>
    <t xml:space="preserve">Depreciation </t>
  </si>
  <si>
    <t>Cost / Revaluation</t>
  </si>
  <si>
    <t>Administration assets</t>
  </si>
  <si>
    <t>Recurrent grants</t>
  </si>
  <si>
    <t>Total other short-term financial liabilities</t>
  </si>
  <si>
    <t>310203</t>
  </si>
  <si>
    <t>Accrued Charges</t>
  </si>
  <si>
    <t>310204</t>
  </si>
  <si>
    <t>Provision for Operating Expenses</t>
  </si>
  <si>
    <t>310205</t>
  </si>
  <si>
    <t>Retention Money</t>
  </si>
  <si>
    <t>310206</t>
  </si>
  <si>
    <t>Liquidity risk is the risk that Babati District Council will encounter difficulty raising liquid funds to meet commitments as they fall due. Prudent liquidity risk management implies maintaining sufficient cash to meet our targeted objectives. Babati District Council is exposed to uncertainty of budgeted Cash flow in both amount and scheduled time as our major source is Central Government. Also Price and currency instability do affect Cash amount of Cash flow to the Council. The management of this risk depends much on external strength than internal. The only internal solution is to strengthening own sources Revenue.</t>
  </si>
  <si>
    <t>The liquidity of late Cash flow from central Government to the Council are as follows:</t>
  </si>
  <si>
    <t>Late by</t>
  </si>
  <si>
    <t>Late by above</t>
  </si>
  <si>
    <t>1 month</t>
  </si>
  <si>
    <t>3 months</t>
  </si>
  <si>
    <t>6 months</t>
  </si>
  <si>
    <t>9 months</t>
  </si>
  <si>
    <t>Contractual risk</t>
  </si>
  <si>
    <t xml:space="preserve">Contractual risk is the one which occur as a result of management to enter into contracts with other parts with terms which favour the Council negatively. This risk is mostly caused by management unknowingly, negligently or intentionaly with purpose of personal interests.   </t>
  </si>
  <si>
    <t>Loan repayment</t>
  </si>
  <si>
    <t>Amortisation</t>
  </si>
  <si>
    <t>Directors' Fees Payable</t>
  </si>
  <si>
    <t>310202</t>
  </si>
  <si>
    <t>Audit Fees Payable</t>
  </si>
  <si>
    <t>Health (TACAIDS)</t>
  </si>
  <si>
    <t>Health (Busket Fund)</t>
  </si>
  <si>
    <t>DADPs</t>
  </si>
  <si>
    <t>LGCDG</t>
  </si>
  <si>
    <t>TASAF</t>
  </si>
  <si>
    <t>Global Fund</t>
  </si>
  <si>
    <t>520</t>
  </si>
  <si>
    <t>Salary - Transport Officer</t>
  </si>
  <si>
    <t>510001</t>
  </si>
  <si>
    <t>Overtime - Corporate</t>
  </si>
  <si>
    <t>Overtime - Accounting Manager</t>
  </si>
  <si>
    <t>Overtime - Management Accounting</t>
  </si>
  <si>
    <t>Overtime - Financial Accounting</t>
  </si>
  <si>
    <t>Overtime - Procurement Manager</t>
  </si>
  <si>
    <t>Overtime -Procurement Section</t>
  </si>
  <si>
    <t>Overtime - Logistics Section</t>
  </si>
  <si>
    <t>Overtime - Materials &amp; services Supt</t>
  </si>
  <si>
    <t>Overtime -Technical Director's Office</t>
  </si>
  <si>
    <t>Overtime - Production Manager's Office</t>
  </si>
  <si>
    <t>Overtime - Crushing</t>
  </si>
  <si>
    <t>Overtime - Raw Milling</t>
  </si>
  <si>
    <t>Overtime - Cement Grinding</t>
  </si>
  <si>
    <t>Overtime - Clinker Burning</t>
  </si>
  <si>
    <t>Overtime - Packing Plant</t>
  </si>
  <si>
    <t>Overtime - Maintenance Manager' Office</t>
  </si>
  <si>
    <t>Overtime - Mechanical Supt.</t>
  </si>
  <si>
    <t xml:space="preserve">Cash  and  Cash  Equivalents  included  in  the  Cash  Flow  Statement  comprise  the  </t>
  </si>
  <si>
    <t>following balance sheet amounts:</t>
  </si>
  <si>
    <t>NOTES  1  TO  27  FORM  PART  OF  THE  FINANCIAL STATEMENTS</t>
  </si>
  <si>
    <t>STATEMENT OF CHANGES IN EQUITY</t>
  </si>
  <si>
    <t>SHARE</t>
  </si>
  <si>
    <t>RETAINED</t>
  </si>
  <si>
    <t>FIXED ASSET</t>
  </si>
  <si>
    <t>EARNINGS</t>
  </si>
  <si>
    <t>REVALUATION</t>
  </si>
  <si>
    <t>RESERVE</t>
  </si>
  <si>
    <t>Revaluation</t>
  </si>
  <si>
    <t>Capital grant</t>
  </si>
  <si>
    <t>Carrying amount</t>
  </si>
  <si>
    <t>RECEIVABLES AND PREPAYMENTS</t>
  </si>
  <si>
    <t>Less: Allowances for impairment of receivables</t>
  </si>
  <si>
    <t>This relates to items of property, plant and equipment received from various donors and the Government.</t>
  </si>
  <si>
    <t>PAYABLES</t>
  </si>
  <si>
    <t>Other payables</t>
  </si>
  <si>
    <t>Furniture and fittings</t>
  </si>
  <si>
    <t>DEFERRED INCOME</t>
  </si>
  <si>
    <t xml:space="preserve">Reconciliation of tax expense to tax based on </t>
  </si>
  <si>
    <t>Royality (3% of cost of extracted materials)</t>
  </si>
  <si>
    <t>Page 21</t>
  </si>
  <si>
    <t>EARNINGS PER SHARE</t>
  </si>
  <si>
    <t>Incentives - Preventive Maintenance</t>
  </si>
  <si>
    <t>Incentives - Electrical Supt</t>
  </si>
  <si>
    <t>Incentives - Quality Control Manager</t>
  </si>
  <si>
    <t>Incentives - Process Supt</t>
  </si>
  <si>
    <t>Incentives - Mines Supt</t>
  </si>
  <si>
    <t>Incentives - Lab Supt</t>
  </si>
  <si>
    <t>Incentives - Commercial Director</t>
  </si>
  <si>
    <t>Incentives - Sales Supt</t>
  </si>
  <si>
    <t>Incentives - Distribution Supt</t>
  </si>
  <si>
    <t>Incentives - Market Supt</t>
  </si>
  <si>
    <t>Incentives - Human Resources Director</t>
  </si>
  <si>
    <t>Incentives - Human Resources Officer</t>
  </si>
  <si>
    <t>Incentives - Transport Officer</t>
  </si>
  <si>
    <t>510108</t>
  </si>
  <si>
    <t xml:space="preserve"> the year 2005 were as follows:</t>
  </si>
  <si>
    <t>Spare parts &amp; equipment</t>
  </si>
  <si>
    <t>Trade payables:</t>
  </si>
  <si>
    <t>Consultancy/Professional Fees - Taxation</t>
  </si>
  <si>
    <t>Consultancy/Professional Fees - Procurement</t>
  </si>
  <si>
    <t>230</t>
  </si>
  <si>
    <t>Consultancy/Professional Fees - Info Tech Services</t>
  </si>
  <si>
    <t>Consultancy/Professional Fees - Technical</t>
  </si>
  <si>
    <t>Consultancy/Professional Fees - Quality Control</t>
  </si>
  <si>
    <t>Consultancy/Professional Fees - Commercial Director</t>
  </si>
  <si>
    <t>Consultancy/Professional Fees - Human Resources</t>
  </si>
  <si>
    <t>511001</t>
  </si>
  <si>
    <t>Non Property Leases &amp; Rental - Corporate</t>
  </si>
  <si>
    <t>Non Property Leases &amp; Rental - Procurement</t>
  </si>
  <si>
    <t>Non Property Leases &amp; Rental - Crusher</t>
  </si>
  <si>
    <t>Non Property Leases &amp; Rental - Raw Mill</t>
  </si>
  <si>
    <t>Non Property Leases &amp; Rental - Cement Mills</t>
  </si>
  <si>
    <t>Non Property Leases &amp; Rental - Kilns</t>
  </si>
  <si>
    <t>Non Property Leases &amp; Rental - Packing Plant</t>
  </si>
  <si>
    <t>Non Property Leases &amp; Rental - Transport</t>
  </si>
  <si>
    <t>511002</t>
  </si>
  <si>
    <t>Handling - Crushers</t>
  </si>
  <si>
    <t>Handling - Raw Mills</t>
  </si>
  <si>
    <t>Handling - Cement mills</t>
  </si>
  <si>
    <t>Handling - Kilns</t>
  </si>
  <si>
    <t>Handling - Packing Plant</t>
  </si>
  <si>
    <t>Handling - Distribution</t>
  </si>
  <si>
    <t>511003</t>
  </si>
  <si>
    <t>Stationery - Corporate</t>
  </si>
  <si>
    <t>Stationery - Accounting Manager</t>
  </si>
  <si>
    <t>Stationery - Management Accounting</t>
  </si>
  <si>
    <t>Stationery - Financial Accounting</t>
  </si>
  <si>
    <t>Stationery - Procurement Manager</t>
  </si>
  <si>
    <t>Stationery - Procurement Section</t>
  </si>
  <si>
    <t>Stationery - Logistics Section</t>
  </si>
  <si>
    <t>Stationery - Materials &amp; services Supt</t>
  </si>
  <si>
    <t>Stationery -Technical Director's Office</t>
  </si>
  <si>
    <t>Stationery - Production Manager's Office</t>
  </si>
  <si>
    <t>Stationery - Crushing</t>
  </si>
  <si>
    <t>Stationery - Raw Milling</t>
  </si>
  <si>
    <t>Stationery - Cement Grinding</t>
  </si>
  <si>
    <t>Stationery - Clinker Burning</t>
  </si>
  <si>
    <t>Stationery - Packing Plant</t>
  </si>
  <si>
    <t xml:space="preserve">Additions </t>
  </si>
  <si>
    <t>Charge during  the  year</t>
  </si>
  <si>
    <t>Cost</t>
  </si>
  <si>
    <t>PROPERTY, PLANT AND EQUIPMENT</t>
  </si>
  <si>
    <t>(i)</t>
  </si>
  <si>
    <t>(ii)</t>
  </si>
  <si>
    <t>(iii)</t>
  </si>
  <si>
    <t>covering 125% of the total facilities amount( present registered charge of  Tshs. 4,700,000,000=)</t>
  </si>
  <si>
    <t>Related party transactions</t>
  </si>
  <si>
    <t>Related party balances</t>
  </si>
  <si>
    <t>company is Scancem International ANS - Norway.</t>
  </si>
  <si>
    <t xml:space="preserve">and a scheme administered by National Social Security Fund. </t>
  </si>
  <si>
    <t>Repair &amp; Maint. - Distribution</t>
  </si>
  <si>
    <t>Repair &amp; Maint. - Transport</t>
  </si>
  <si>
    <t>513006</t>
  </si>
  <si>
    <t>Repair &amp; Maint. - Environmental - Procurement</t>
  </si>
  <si>
    <t>Repair &amp; Maint. - Environmental - Kiln</t>
  </si>
  <si>
    <t>Repair &amp; Maint. - Environmental - Civil</t>
  </si>
  <si>
    <t>520000</t>
  </si>
  <si>
    <t>Interest - Long Term Borrowing</t>
  </si>
  <si>
    <t>Interest - Other</t>
  </si>
  <si>
    <t>Fixed Overtime - Lab Supt</t>
  </si>
  <si>
    <t>Fixed Overtime - Commercial Director</t>
  </si>
  <si>
    <t>Fixed Overtime - Sales Supt</t>
  </si>
  <si>
    <t>Fixed Overtime - Distribution Supt</t>
  </si>
  <si>
    <t>Fixed Overtime - Market Supt</t>
  </si>
  <si>
    <t>Fixed Overtime - Human Resources Director</t>
  </si>
  <si>
    <t>Fixed Overtime - Human Resources Officer</t>
  </si>
  <si>
    <t>Fixed Overtime - Transport Officer</t>
  </si>
  <si>
    <t>510006</t>
  </si>
  <si>
    <t>Housing Allowances</t>
  </si>
  <si>
    <t>510007</t>
  </si>
  <si>
    <t>Skill &amp; Development Levy - Corporate</t>
  </si>
  <si>
    <t>Skill &amp; Development Levy - Accounting Manager</t>
  </si>
  <si>
    <t>Skill &amp; Development Levy - Management Accounting</t>
  </si>
  <si>
    <t>Skill &amp; Development Levy - Financial Accounting</t>
  </si>
  <si>
    <t>Skill &amp; Development Levy - Procurement Manager</t>
  </si>
  <si>
    <t>Skill &amp; Development Levy - Procurement Section</t>
  </si>
  <si>
    <t>Skill &amp; Development Levy - Logistics Section</t>
  </si>
  <si>
    <t>Factory Plant, Machinery &amp; Equip. - Accum. Depreciation</t>
  </si>
  <si>
    <t>101100</t>
  </si>
  <si>
    <t>Quarry Plant, Machinery &amp; Equipment - Cost</t>
  </si>
  <si>
    <t>101101</t>
  </si>
  <si>
    <t>Quarry Plant,Machinery&amp;Equip - Accumulated Depreciation</t>
  </si>
  <si>
    <t>102000</t>
  </si>
  <si>
    <t>Equipment, Furniture &amp; Fixtures - Cost</t>
  </si>
  <si>
    <t>102001</t>
  </si>
  <si>
    <t>Equipment, Furniture &amp; Fixtures - Accum. Depreciation</t>
  </si>
  <si>
    <t>102100</t>
  </si>
  <si>
    <t>Motor Vehicles - Cost</t>
  </si>
  <si>
    <t>102101</t>
  </si>
  <si>
    <t>Motor Vehicles - Accumulated Depreciation</t>
  </si>
  <si>
    <t>102200</t>
  </si>
  <si>
    <t>Computer Hardware - Cost</t>
  </si>
  <si>
    <t>102201</t>
  </si>
  <si>
    <t>Computer Hardware - Accumulated Depreciation</t>
  </si>
  <si>
    <t>NOTE 25</t>
  </si>
  <si>
    <t>The financial statements  are presented in Tanzania shillings (TZS.)</t>
  </si>
  <si>
    <t>NOTE 26</t>
  </si>
  <si>
    <t>INCOME STATEMENT ITEMS FOR THE YEAR ENDED 31ST DECEMBER 2005</t>
  </si>
  <si>
    <t>TZS</t>
  </si>
  <si>
    <t>Less: Freight Outbound</t>
  </si>
  <si>
    <t>Motor vehicle &amp; cycles</t>
  </si>
  <si>
    <t>National Social Security Fund</t>
  </si>
  <si>
    <t>Total</t>
  </si>
  <si>
    <t>Stationery - Human Resources Director</t>
  </si>
  <si>
    <t>Stationery - Human Resources Officer</t>
  </si>
  <si>
    <t>Stationery - Transport Officer</t>
  </si>
  <si>
    <t>511004</t>
  </si>
  <si>
    <t>Communication - Corporate</t>
  </si>
  <si>
    <t>CASH  AND  CASH  EQUIVALENTS  AT  END  OF  THE  PERIOD</t>
  </si>
  <si>
    <t xml:space="preserve">Opening balance 01.01.2006 </t>
  </si>
  <si>
    <t>Balance as at 31.12.2006</t>
  </si>
  <si>
    <t xml:space="preserve">NOTES TO THE FINANCIAL STATEMENTS FOR THE PERIOD YEAR ENDED </t>
  </si>
  <si>
    <t>31ST DECEMBER 2006</t>
  </si>
  <si>
    <t>NOTE 2</t>
  </si>
  <si>
    <t>LEASEHOLD</t>
  </si>
  <si>
    <t>CAPITAL WORK-IN</t>
  </si>
  <si>
    <t>ROADS</t>
  </si>
  <si>
    <t>As  At  01.01.2006</t>
  </si>
  <si>
    <t>As  At  31.12.2006</t>
  </si>
  <si>
    <t>BABATI DISTRICT COUNCIL</t>
  </si>
  <si>
    <t xml:space="preserve">NOTES TO THE FINANCIAL STATEMENTS FOR THE YEAR YEAR ENDED </t>
  </si>
  <si>
    <t>PARTICULARS</t>
  </si>
  <si>
    <t>BUILDINGS</t>
  </si>
  <si>
    <t>PRODUCTION</t>
  </si>
  <si>
    <t>OTHER</t>
  </si>
  <si>
    <t>CAPITAL</t>
  </si>
  <si>
    <t>DIVIDEND PER SHARE</t>
  </si>
  <si>
    <t>Interest Paid</t>
  </si>
  <si>
    <t>Interest Expenses</t>
  </si>
  <si>
    <t>Bank overdraft</t>
  </si>
  <si>
    <t>The loan of Tshs 1,082,822,619 was extended by the Government of the United Republic of Tanzania to</t>
  </si>
  <si>
    <t>The repayment of the loan commenced on  31 January 1999 and is payable up to 31 December 2019.</t>
  </si>
  <si>
    <t>Budget approved on the Cash Basis</t>
  </si>
  <si>
    <t>(According to Local Government Finance Act 1982 as amended in 2000 Section 43)</t>
  </si>
  <si>
    <t>NET  CASH  FLOWS  FROM(USED  IN)  FINANCING  ACTIVITIES</t>
  </si>
  <si>
    <t>NET  INCREASE/(DECREASE)  IN  CASH  AND  CASH  EQUIVALENTS</t>
  </si>
  <si>
    <t>CASH  AND  CASH  EQUIVALENTS  AT  END  OF  THE  YEAR</t>
  </si>
  <si>
    <t>Skill &amp; Development Levy - Electrical Supt</t>
  </si>
  <si>
    <t>Skill &amp; Development Levy - Quality Control Manager</t>
  </si>
  <si>
    <t>Skill &amp; Development Levy - Process Supt</t>
  </si>
  <si>
    <t>Skill &amp; Development Levy - Mines Supt</t>
  </si>
  <si>
    <t>Skill &amp; Development Levy - Lab Supt</t>
  </si>
  <si>
    <t>Skill &amp; Development Levy - Commercial Director</t>
  </si>
  <si>
    <t>Skill &amp; Development Levy - Sales Supt</t>
  </si>
  <si>
    <t>Skill &amp; Development Levy - Distribution Supt</t>
  </si>
  <si>
    <t>Skill &amp; Development Levy - Market Supt</t>
  </si>
  <si>
    <t>Skill &amp; Development Levy - Human Resources Director</t>
  </si>
  <si>
    <t>Skill &amp; Development Levy - Human Resources Officer</t>
  </si>
  <si>
    <t>Skill &amp; Development Levy - Transport Officer</t>
  </si>
  <si>
    <t>510100</t>
  </si>
  <si>
    <t>Meals - Managing Director</t>
  </si>
  <si>
    <t>Meals - Accounting Manager</t>
  </si>
  <si>
    <t>Meals - Management Accountant</t>
  </si>
  <si>
    <t>Meals - Financial Accountant</t>
  </si>
  <si>
    <t>Meals - Procurement Manager</t>
  </si>
  <si>
    <t>Meals - Procurement Supt</t>
  </si>
  <si>
    <t>Meals - Logistics Supt</t>
  </si>
  <si>
    <t>Meals - Materials &amp; Services Supt</t>
  </si>
  <si>
    <t>Loan repayments risk is the one occurs when those who took loans either fail or refuse to pay back the loan as per terms of agreements. Babati District Council is exposed to this risk in Women and Youth funds where most of the groups took loans they don’t pay back their obligations as agreed. The results of this is failure to facilitate loans the targeted number of groups/ people.</t>
  </si>
  <si>
    <t>Errupting policies</t>
  </si>
  <si>
    <t>These are policies/ Directives flows from top management which are not in conformity with Council plans. Implementation of these directives not only affects the liquidity and time schedule of particular activities but also the entire Council year plans. Managemement of this risk depends on top management to respect and prosper Councils' implementation plans and budgets.</t>
  </si>
  <si>
    <t>112021</t>
  </si>
  <si>
    <t>Citibank - USD</t>
  </si>
  <si>
    <t>112030</t>
  </si>
  <si>
    <t>CRDB Tower Branch - TZS</t>
  </si>
  <si>
    <t>112040</t>
  </si>
  <si>
    <t>Stanbic Bank - TZS</t>
  </si>
  <si>
    <t>112041</t>
  </si>
  <si>
    <t>Stanbic Bank - USD</t>
  </si>
  <si>
    <t>112099</t>
  </si>
  <si>
    <t>Other long-term provision (current portion)</t>
  </si>
  <si>
    <t>Other short-term provision</t>
  </si>
  <si>
    <t>Total short-term provisions</t>
  </si>
  <si>
    <t>Debenture loans (current portion)</t>
  </si>
  <si>
    <t>Bank loans (current portion)</t>
  </si>
  <si>
    <t>Total Loans (current portion)</t>
  </si>
  <si>
    <t>Other lt fin liabilities (current portion)</t>
  </si>
  <si>
    <t>Total other lt fin liabilities (current portion)</t>
  </si>
  <si>
    <t>Current bank liabilities</t>
  </si>
  <si>
    <t>Dividends to be paid</t>
  </si>
  <si>
    <t>Other short-term financial liabilities</t>
  </si>
  <si>
    <t>Skill &amp; Development Levy - Packing Plant</t>
  </si>
  <si>
    <t>Skill &amp; Development Levy - Maintenance Manager' Office</t>
  </si>
  <si>
    <t>Skill &amp; Development Levy - Mechanical Supt.</t>
  </si>
  <si>
    <t>Skill &amp; Development Levy - Civil Eng. Supt</t>
  </si>
  <si>
    <t>Skill &amp; Development Levy - Preventive Maintenance</t>
  </si>
  <si>
    <t>Current income taxes payable</t>
  </si>
  <si>
    <t xml:space="preserve">The company operates a central treasury function to provide competitive funding costs, invest </t>
  </si>
  <si>
    <t xml:space="preserve">and monitor financial risk. Group treasury activity is routinely reported to the Board. </t>
  </si>
  <si>
    <t xml:space="preserve"> The company does not use derivative financial instruments for speculative purposes.</t>
  </si>
  <si>
    <t xml:space="preserve">Foreign currency risk is managed at an operational level and monitored by Finance  </t>
  </si>
  <si>
    <t>Salary - Production Manager's Office</t>
  </si>
  <si>
    <t>Salary - Crushing</t>
  </si>
  <si>
    <t>Salary - Raw Milling</t>
  </si>
  <si>
    <t>Salary - Cement Grinding</t>
  </si>
  <si>
    <t>Salary - Clinker Burning</t>
  </si>
  <si>
    <t>Salary - Packing Plant</t>
  </si>
  <si>
    <t>320</t>
  </si>
  <si>
    <t>Salary - Maintenance Manager' Office</t>
  </si>
  <si>
    <t>321</t>
  </si>
  <si>
    <t>Salary - Mechanical Supt.</t>
  </si>
  <si>
    <t>322</t>
  </si>
  <si>
    <t>Salary - Civil Eng. Supt</t>
  </si>
  <si>
    <t>Salary - Preventive Maintenance</t>
  </si>
  <si>
    <t>324</t>
  </si>
  <si>
    <t>Salary - Electrical Supt</t>
  </si>
  <si>
    <t>Salary - Quality Control Manager</t>
  </si>
  <si>
    <t>331</t>
  </si>
  <si>
    <t>Salary - Process Supt</t>
  </si>
  <si>
    <t>332</t>
  </si>
  <si>
    <t>Salary - Mines Supt</t>
  </si>
  <si>
    <t>333</t>
  </si>
  <si>
    <t>Salary - Lab Supt</t>
  </si>
  <si>
    <t>Audit</t>
  </si>
  <si>
    <t>Other revenues</t>
  </si>
  <si>
    <t>EMPLOYEES BENEFITS</t>
  </si>
  <si>
    <t>400</t>
  </si>
  <si>
    <t>Salary - Commercial Director</t>
  </si>
  <si>
    <t>410</t>
  </si>
  <si>
    <t>Salary - Sales Supt</t>
  </si>
  <si>
    <t>Salary - Distribution Supt</t>
  </si>
  <si>
    <t>430</t>
  </si>
  <si>
    <t>Salary - Market Supt</t>
  </si>
  <si>
    <t>500</t>
  </si>
  <si>
    <t>Salary - Human Resources Director</t>
  </si>
  <si>
    <t>510</t>
  </si>
  <si>
    <t>Salary - Human Resources Officer</t>
  </si>
  <si>
    <t>310207</t>
  </si>
  <si>
    <t>Group Endowment Scheme (Ex-NIC)</t>
  </si>
  <si>
    <t>500102</t>
  </si>
  <si>
    <t>Sand</t>
  </si>
  <si>
    <t>500103</t>
  </si>
  <si>
    <t>Changes in Provision for Stock Write - Offs</t>
  </si>
  <si>
    <t>Changes in Provision for Bad &amp; Doubtful Debts - Suppliers</t>
  </si>
  <si>
    <t>511035</t>
  </si>
  <si>
    <t>Sports and Recreation</t>
  </si>
  <si>
    <t>600001</t>
  </si>
  <si>
    <t>BALANCE SHEET AS AT 31ST DECEMBER 2006</t>
  </si>
  <si>
    <t>31.12.2006</t>
  </si>
  <si>
    <t>Other Receivables</t>
  </si>
  <si>
    <t>AUTHORISED</t>
  </si>
  <si>
    <t>Payables</t>
  </si>
  <si>
    <t>Revenue</t>
  </si>
  <si>
    <t xml:space="preserve">Revenue   </t>
  </si>
  <si>
    <t>Share of sssociates surplus/(deficit)</t>
  </si>
  <si>
    <t>The company has adopted a non- speculative approach to the management of interest rate risk</t>
  </si>
  <si>
    <t>Other admin expenses-general &amp; administrative</t>
  </si>
  <si>
    <t>Other expenses-general &amp; administrative</t>
  </si>
  <si>
    <t>Other operating income &amp; charges</t>
  </si>
  <si>
    <t>Rent income</t>
  </si>
  <si>
    <t>Increase in provisions(not allocated costs) - operating</t>
  </si>
  <si>
    <t>Operating depreciation &amp; amortisation</t>
  </si>
  <si>
    <t>1,799,231 Ordinary  Shares of  T.Shs.2,000 each</t>
  </si>
  <si>
    <t>ISSUED  AND  FULLY  PAID  UP</t>
  </si>
  <si>
    <t>Treasury  Registrar-Ministry of  Finance</t>
  </si>
  <si>
    <t>Swedfund International  AB</t>
  </si>
  <si>
    <t>As holders of the Certificate of Incentives issued by the Tanzania Investment Centre, the</t>
  </si>
  <si>
    <t>Company is entitled to deduct 100% of the investment in Plant &amp; Machinery when</t>
  </si>
  <si>
    <t>calculating income tax in the year of capitalisation of the assets. Due to the capitalisation</t>
  </si>
  <si>
    <t>Deferred tax liability thereon at 30%</t>
  </si>
  <si>
    <t>RELATED PARTY TRANSACTIONS</t>
  </si>
  <si>
    <t>CAPITAL  COMMITMENTS</t>
  </si>
  <si>
    <t>CONTINGENT  LIABILITIES</t>
  </si>
  <si>
    <t>COMPARATIVE  FIGURES</t>
  </si>
  <si>
    <t>Withholding Taxes Payable-Foreign Payments</t>
  </si>
  <si>
    <t>Advances from Customers</t>
  </si>
  <si>
    <t>TRA Customs &amp; Excise</t>
  </si>
  <si>
    <t>Material on Loan Tanga/Mbeya</t>
  </si>
  <si>
    <t>Staff assurance Pension Scheme</t>
  </si>
  <si>
    <t>Notes</t>
  </si>
  <si>
    <t>TANZANIA PORTLAND CEMENT COMPANY LIMITED</t>
  </si>
  <si>
    <t>31.12.2003</t>
  </si>
  <si>
    <t>TZS'000'</t>
  </si>
  <si>
    <t>ASSETS</t>
  </si>
  <si>
    <t>Total non-current assets</t>
  </si>
  <si>
    <t>Raw materials, additives and consumables</t>
  </si>
  <si>
    <t>Work in progress</t>
  </si>
  <si>
    <t>Other factory/office equipment &amp; furniture- at cost</t>
  </si>
  <si>
    <t>Other factory/office equipment &amp; furniture- depreciation</t>
  </si>
  <si>
    <t>Other factory/office equipment &amp; furniture-Net Book Value</t>
  </si>
  <si>
    <t>Long term operating receivables</t>
  </si>
  <si>
    <t>Limestone Stock</t>
  </si>
  <si>
    <t>Red Soil Stock</t>
  </si>
  <si>
    <t>Diesel Stock</t>
  </si>
  <si>
    <t>Finished goods</t>
  </si>
  <si>
    <t>Advances from customers</t>
  </si>
  <si>
    <t>Provision for doubtful debts</t>
  </si>
  <si>
    <t>Interest - Short Term Borrowing</t>
  </si>
  <si>
    <t>520001</t>
  </si>
  <si>
    <t>Foreign Exchange Losses - Unrealised</t>
  </si>
  <si>
    <t>Deposits and bonds</t>
  </si>
  <si>
    <t>Accumulated surplus/deficit</t>
  </si>
  <si>
    <t>Other long-term financial liabilities</t>
  </si>
  <si>
    <t>Total other long-term financial liabilities</t>
  </si>
  <si>
    <t>Total interest bearing borrowings</t>
  </si>
  <si>
    <t>Provision for pensions and similar obligations (current portion)</t>
  </si>
  <si>
    <t>Provision for early retirement (current portion)</t>
  </si>
  <si>
    <t>Provision for other employee benefit obligations (current portion)</t>
  </si>
  <si>
    <t>Total provisions for pensions(current portion)</t>
  </si>
  <si>
    <t>Provision for recaltivation (current portion)</t>
  </si>
  <si>
    <t>Provision for guarantees (current portion)</t>
  </si>
  <si>
    <t>Staff Remittance Payable</t>
  </si>
  <si>
    <t>310313</t>
  </si>
  <si>
    <t>Staff House Rent Payable</t>
  </si>
  <si>
    <t>310400</t>
  </si>
  <si>
    <t>Inter - Company Payables</t>
  </si>
  <si>
    <t>311000</t>
  </si>
  <si>
    <t>Import Duty Accrued</t>
  </si>
  <si>
    <t>Total long-term provisions</t>
  </si>
  <si>
    <t>Deferred Tax Provision</t>
  </si>
  <si>
    <t>Debenture loans</t>
  </si>
  <si>
    <t>Bank loans</t>
  </si>
  <si>
    <t>Total loans</t>
  </si>
  <si>
    <t>Royalties - Quarry</t>
  </si>
  <si>
    <t>507000</t>
  </si>
  <si>
    <t>P/L</t>
  </si>
  <si>
    <t>Stock Change</t>
  </si>
  <si>
    <t>510000</t>
  </si>
  <si>
    <t>100</t>
  </si>
  <si>
    <t>Salary - Corporate</t>
  </si>
  <si>
    <t>210</t>
  </si>
  <si>
    <t>Salary - Accounting Manager</t>
  </si>
  <si>
    <t>211</t>
  </si>
  <si>
    <t>Salary - Management Accounting</t>
  </si>
  <si>
    <t>212</t>
  </si>
  <si>
    <t>Salary - Financial Accounting</t>
  </si>
  <si>
    <t>220</t>
  </si>
  <si>
    <t>Salary - Procurement Manager</t>
  </si>
  <si>
    <t>221</t>
  </si>
  <si>
    <t xml:space="preserve">Babati District Council management has identified a series of risks associated with financial instruments. Babati District Council is risk averse and seeks to minimise exposure from its treasury activities. It is in process to establish Council sub committee to manage these risks and after being approved the Commitee will establish risks management policies and viabe investments area. The policies to be established are expected not to allow any transactions that are speculative in nature to be entered into. Among the risks identified are: </t>
  </si>
  <si>
    <t>Price risk is the risk that the value of a financial instrument will fluctuate as a result of changes in market prices. Babati District Council is exposed to undercollection of Revenue following price falling of agricultural produce in produce cess area which is substantial source of Council fund. This price risk arises due to whether charge is imposed by Percentage or fixed amount per unit. Also in procurement of goods and services the rise up price which is mostly expected to occur has an adverse effects to councils plans</t>
  </si>
  <si>
    <r>
      <t xml:space="preserve">Less: </t>
    </r>
    <r>
      <rPr>
        <sz val="10"/>
        <rFont val="Times New Roman"/>
        <family val="1"/>
      </rPr>
      <t>Provision for Impairment</t>
    </r>
  </si>
  <si>
    <t>Total assets</t>
  </si>
  <si>
    <t xml:space="preserve">Total liabilities </t>
  </si>
  <si>
    <t>NOTES  1  TO  30  FORM  PART  OF  THE  FINANCIAL STATEMENTS</t>
  </si>
  <si>
    <t>INCOME STATEMENT FOR PERIOD ENDED 31ST DECEMBER  2006</t>
  </si>
  <si>
    <t>CASH  FLOW  STATEMENT  FOR  THE  PERIOD  ENDED 31ST DECEMBER 2006</t>
  </si>
  <si>
    <t>amortisation of leasehold land</t>
  </si>
  <si>
    <t xml:space="preserve">including the year ended 31 December 2004. </t>
  </si>
  <si>
    <t>Additional tax assessed for year 2004</t>
  </si>
  <si>
    <t>At 31st December</t>
  </si>
  <si>
    <t>Long term portion</t>
  </si>
  <si>
    <t>As at 31.12.2006, the following capital commitments had been approved and contracted for:</t>
  </si>
  <si>
    <t>of employment contracts and breach of business contracts all amounting to TZS.2,000,603,000</t>
  </si>
  <si>
    <t>The Company has been advised by its legal counsel that it is possible, but not probable, that</t>
  </si>
  <si>
    <t>the actions will succeed and accordingly, no provision for any liability has been made in these</t>
  </si>
  <si>
    <t>The Company is exposed to various risks associated with the effects of fluctuations in the prevailing levels of market interest rates on its financial position and cash flows.  The table below summarises the exposure to interest rate risks.  Included in the table are the Company’s assets and liabilities at carrying amounts, categorised by the earlier of contractual repricing or maturity dates.  All figures are in thousands of shillings.</t>
  </si>
  <si>
    <r>
      <t>►</t>
    </r>
    <r>
      <rPr>
        <sz val="10"/>
        <rFont val="Arial"/>
        <family val="2"/>
      </rPr>
      <t>Scancem International ANS</t>
    </r>
  </si>
  <si>
    <r>
      <t>►</t>
    </r>
    <r>
      <rPr>
        <sz val="10"/>
        <rFont val="Arial"/>
        <family val="2"/>
      </rPr>
      <t>Scancem Research AB</t>
    </r>
  </si>
  <si>
    <r>
      <t>►</t>
    </r>
    <r>
      <rPr>
        <sz val="10"/>
        <rFont val="Arial"/>
        <family val="2"/>
      </rPr>
      <t>Atlas Nordic Cement Ltd</t>
    </r>
  </si>
  <si>
    <t>a)</t>
  </si>
  <si>
    <t>b)</t>
  </si>
  <si>
    <t>c)</t>
  </si>
  <si>
    <t>d)</t>
  </si>
  <si>
    <t>capital needs for the foreseeable future.</t>
  </si>
  <si>
    <t>e)</t>
  </si>
  <si>
    <t>CASH AND CASH EQUIVALENTS</t>
  </si>
  <si>
    <t>retirement age. The retired employee is paid cement or monetary equivalent to cement based on the</t>
  </si>
  <si>
    <t>INCORPORATION</t>
  </si>
  <si>
    <t>CURRENCY</t>
  </si>
  <si>
    <t>FINANCIAL RISK MANAGEMENT</t>
  </si>
  <si>
    <t>TZS '000</t>
  </si>
  <si>
    <t>Non-current liabilities</t>
  </si>
  <si>
    <t>Current liabilities</t>
  </si>
  <si>
    <t>Gratuity</t>
  </si>
  <si>
    <t>Less: Provision for obsolete stock</t>
  </si>
  <si>
    <t>TOTAL</t>
  </si>
  <si>
    <t>AND</t>
  </si>
  <si>
    <t>MACHINERY</t>
  </si>
  <si>
    <t>EQUIPMENT</t>
  </si>
  <si>
    <t>WORK  IN</t>
  </si>
  <si>
    <t>LAND</t>
  </si>
  <si>
    <t>PROGRESS</t>
  </si>
  <si>
    <t>T.SHS.'000'</t>
  </si>
  <si>
    <t>COST/VALUATION</t>
  </si>
  <si>
    <t>Additions  During  the  Year</t>
  </si>
  <si>
    <t>Cost/Valuation</t>
  </si>
  <si>
    <t>DEPRECIATION</t>
  </si>
  <si>
    <t>Charged  During  the  Year</t>
  </si>
  <si>
    <t>NET  BOOK  VALUE</t>
  </si>
  <si>
    <t>Advances to Suppliers</t>
  </si>
  <si>
    <t>Prepaid Expenses</t>
  </si>
  <si>
    <t>Staff Loans and Advances</t>
  </si>
  <si>
    <t xml:space="preserve">per share (totaling TZS 3,125,000,000) were declared and paid. </t>
  </si>
  <si>
    <t xml:space="preserve">In adition to that, the company has a retirement scheme administered by the Jubilee Insurance </t>
  </si>
  <si>
    <t>Key management remuneration:</t>
  </si>
  <si>
    <t xml:space="preserve">During the period, dividends relating to the profits for the year ended 31 December 2005 of TZS 1,736.85 </t>
  </si>
  <si>
    <t>Stationery - Commercial Director</t>
  </si>
  <si>
    <t>Stationery - Sales Supt</t>
  </si>
  <si>
    <t>Stationery - Distribution Supt</t>
  </si>
  <si>
    <t>Stationery - Market Supt</t>
  </si>
  <si>
    <t>►Atlas Nordic Cement Ltd</t>
  </si>
  <si>
    <r>
      <t xml:space="preserve">Less: </t>
    </r>
    <r>
      <rPr>
        <sz val="11"/>
        <rFont val="Times New Roman"/>
        <family val="1"/>
      </rPr>
      <t>Provision for Bad &amp; Doubtful Debts</t>
    </r>
  </si>
  <si>
    <t>Accumulated amortisation</t>
  </si>
  <si>
    <t>Stocks Wrtten Off</t>
  </si>
  <si>
    <t>511030</t>
  </si>
  <si>
    <t>Changes in Provision for Stock Wrte - Offs</t>
  </si>
  <si>
    <t>511031</t>
  </si>
  <si>
    <t>Changes in Provision for Bad &amp; Doubtful Debts</t>
  </si>
  <si>
    <t>511032</t>
  </si>
  <si>
    <t xml:space="preserve">400 </t>
  </si>
  <si>
    <t>Bad Debts Written Off</t>
  </si>
  <si>
    <t>511033</t>
  </si>
  <si>
    <t>Stock Options</t>
  </si>
  <si>
    <t>511034</t>
  </si>
  <si>
    <t>Social Responsibility/Community Works</t>
  </si>
  <si>
    <t>512000</t>
  </si>
  <si>
    <t>Diesel Consumed - Kilns</t>
  </si>
  <si>
    <t>Diesel Consumed - Distribution</t>
  </si>
  <si>
    <t>Diesel Consumed - Transport</t>
  </si>
  <si>
    <t>512001</t>
  </si>
  <si>
    <t>Petrol Consumed</t>
  </si>
  <si>
    <t>512002</t>
  </si>
  <si>
    <t>Lubricants Consumed</t>
  </si>
  <si>
    <t>512003</t>
  </si>
  <si>
    <t>Revaluation surplus</t>
  </si>
  <si>
    <t>Restated balance</t>
  </si>
  <si>
    <t>Cash flows from investing activities</t>
  </si>
  <si>
    <t>Net cash from investing activities</t>
  </si>
  <si>
    <t>Cash flows from financing activities</t>
  </si>
  <si>
    <t xml:space="preserve">Cash and cash equivalents at beginning of period </t>
  </si>
  <si>
    <t>Cash and cash equivalents at end of period</t>
  </si>
  <si>
    <t>Additions</t>
  </si>
  <si>
    <t>Disposal</t>
  </si>
  <si>
    <t>Land</t>
  </si>
  <si>
    <t>Buildings</t>
  </si>
  <si>
    <t>Council infrastructural assets</t>
  </si>
  <si>
    <t>Sewerage system</t>
  </si>
  <si>
    <t>Water system</t>
  </si>
  <si>
    <t>Drainage network</t>
  </si>
  <si>
    <t>Road network</t>
  </si>
  <si>
    <t>Educational network</t>
  </si>
  <si>
    <t>Dohom Secondary School</t>
  </si>
  <si>
    <t>Dohom</t>
  </si>
  <si>
    <t>Gorowa Secondary School</t>
  </si>
  <si>
    <t>Bashnet Secondary School</t>
  </si>
  <si>
    <t>Masabeda Secondary School</t>
  </si>
  <si>
    <t>Guse Secondary School</t>
  </si>
  <si>
    <t>Guse</t>
  </si>
  <si>
    <t>Dabil Secondary School</t>
  </si>
  <si>
    <t>Dareda Secondary School</t>
  </si>
  <si>
    <t>Ayalagaya Secondary School</t>
  </si>
  <si>
    <t>Ayalagaya</t>
  </si>
  <si>
    <t>Duru Secondary School</t>
  </si>
  <si>
    <t>Haitemba Secondary School</t>
  </si>
  <si>
    <t>Galapo Secondary School</t>
  </si>
  <si>
    <t>Galapo</t>
  </si>
  <si>
    <t>Ayatsea Secondary School</t>
  </si>
  <si>
    <t>Ayamango</t>
  </si>
  <si>
    <t>Gidas Secondary School</t>
  </si>
  <si>
    <t>Kiru Secondary School</t>
  </si>
  <si>
    <t>Qameyu Secondary School</t>
  </si>
  <si>
    <t>Distribution Costs</t>
  </si>
  <si>
    <t>Staff costs - Distribution</t>
  </si>
  <si>
    <t>Freight Outbound</t>
  </si>
  <si>
    <t xml:space="preserve">Division. Exposure to losses from foreign liabilities is managed through </t>
  </si>
  <si>
    <t>The Company has adopted a non- speculative approach to the management of interest</t>
  </si>
  <si>
    <t>rate risk through the use of overdraft facilities and short term loans.</t>
  </si>
  <si>
    <t>The company does not face any liquidity risk as it has unutilised bank facilities to</t>
  </si>
  <si>
    <t>cover its working capital needs for the foreseeable future.</t>
  </si>
  <si>
    <t xml:space="preserve">Potential concentration of credit risk consists principally of short term cash and trade </t>
  </si>
  <si>
    <t xml:space="preserve">debtors. The company deposits short term cash surpluses only with banks of high </t>
  </si>
  <si>
    <t xml:space="preserve">credit standing. Trade debtors are presented net of allowance for doubtful debts. </t>
  </si>
  <si>
    <t>NOTE 27</t>
  </si>
  <si>
    <t>The number of employees at the end of the year was 303 (2005: 307).</t>
  </si>
  <si>
    <t>NOTE 28</t>
  </si>
  <si>
    <t>NOTE 29</t>
  </si>
  <si>
    <t>NOTE 30</t>
  </si>
  <si>
    <t>Head Quarters</t>
  </si>
  <si>
    <t>Basic earnings per share is calculated on the profit or loss after tax attributable to ordinary</t>
  </si>
  <si>
    <t xml:space="preserve">equity holders by the weighted average number of ordinary shares outstanding </t>
  </si>
  <si>
    <t>during the year.</t>
  </si>
  <si>
    <t>Diluted earnings per share is calculated on the profit or loss after tax attributable to ordinary</t>
  </si>
  <si>
    <t>after adjustment of dilutive potential ordinary shares.</t>
  </si>
  <si>
    <t>Repair &amp; Maint. - Off. Bldgs &amp; Equip. - Human Resources Officer</t>
  </si>
  <si>
    <t>513002</t>
  </si>
  <si>
    <t>Repair &amp; Maint. - Factory Buildings</t>
  </si>
  <si>
    <t>513003</t>
  </si>
  <si>
    <t>Repair &amp; Maint. - Factory Plant-Mechanical - Crushers</t>
  </si>
  <si>
    <t>Repair &amp; Maint. - Factory Plant-Mechanical - Raw Mills</t>
  </si>
  <si>
    <t>Repair &amp; Maint. - Factory Plant-Mechanical - Cement Mills</t>
  </si>
  <si>
    <t>Repair &amp; Maint. - Factory Plant-Mechanical - Kilns</t>
  </si>
  <si>
    <t>Repair &amp; Maint. - Factory Plant-Mechanical - P/Plant</t>
  </si>
  <si>
    <t>at a ceiling amount of Tshs 8,300,000,000.</t>
  </si>
  <si>
    <t>Debenture over Tanzania Portland Cement Company Limited inventories and trade receivables</t>
  </si>
  <si>
    <t>Unconditional irrevocable parent guarantee covering all risks provided by  HeidelbergCement AG.</t>
  </si>
  <si>
    <t>The overdraft facility above is secured  against:-</t>
  </si>
  <si>
    <t>Management fees and services</t>
  </si>
  <si>
    <t xml:space="preserve">The claim of TZS 1.3 billion for business interruption on lost sales and clinker production </t>
  </si>
  <si>
    <t>CONTINGENT ASSET</t>
  </si>
  <si>
    <t>Cash flows from operating activities</t>
  </si>
  <si>
    <t>Actual Amount {C}</t>
  </si>
  <si>
    <t>Original Budget {A}</t>
  </si>
  <si>
    <t>Final Budget {B}</t>
  </si>
  <si>
    <t>Diference      {B-C}</t>
  </si>
  <si>
    <t>►HeidelbergCement AG</t>
  </si>
  <si>
    <t>PAYE Payable</t>
  </si>
  <si>
    <t>310302</t>
  </si>
  <si>
    <t>Skills Development Levy Payable</t>
  </si>
  <si>
    <t>310303</t>
  </si>
  <si>
    <t>NSSF Contributions Payable</t>
  </si>
  <si>
    <t>310304</t>
  </si>
  <si>
    <t>PPF Contributions Payable</t>
  </si>
  <si>
    <t>310305</t>
  </si>
  <si>
    <t>Pension - Commercial Director</t>
  </si>
  <si>
    <t>Pension - Sales Supt</t>
  </si>
  <si>
    <t>Pension - Distribution Supt</t>
  </si>
  <si>
    <t>Pension - Market Supt</t>
  </si>
  <si>
    <t>Pension - Human Resources Director</t>
  </si>
  <si>
    <t>Pension - Human Resources Officer</t>
  </si>
  <si>
    <t>Pension - Transport Officer</t>
  </si>
  <si>
    <t>510003</t>
  </si>
  <si>
    <t>Gratuities</t>
  </si>
  <si>
    <t>510005</t>
  </si>
  <si>
    <t>Fixed Overtime - Corporate</t>
  </si>
  <si>
    <t>Fixed Overtime - Accounting Manager</t>
  </si>
  <si>
    <t>Fixed Overtime - Management Accounting</t>
  </si>
  <si>
    <t>Fixed Overtime - Financial Accounting</t>
  </si>
  <si>
    <t>Fixed Overtime - Procurement Manager</t>
  </si>
  <si>
    <t>Fixed Overtime -Procurement Section</t>
  </si>
  <si>
    <t>Fixed Overtime - Logistics Section</t>
  </si>
  <si>
    <t>Fixed Overtime - Materials &amp; Services Supt</t>
  </si>
  <si>
    <t>Fixed Overtime -Technical Director's Office</t>
  </si>
  <si>
    <t>Fixed Overtime - Production Manager's Office</t>
  </si>
  <si>
    <t>Fixed Overtime - Crushing</t>
  </si>
  <si>
    <t>Fixed Overtime - Raw Milling</t>
  </si>
  <si>
    <t>Fixed Overtime - Cement Grinding</t>
  </si>
  <si>
    <t>Total Other Operating Income and Charges</t>
  </si>
  <si>
    <t>Operating Income before Depreciation</t>
  </si>
  <si>
    <t>Operating depreciation and amortisation</t>
  </si>
  <si>
    <t>Concessions &amp; mining rights amortisation-operating</t>
  </si>
  <si>
    <t>Software amortisation-operating</t>
  </si>
  <si>
    <t>Tangible fixed assets depreciation-operating</t>
  </si>
  <si>
    <t>Total Depreciation &amp; Amortisation</t>
  </si>
  <si>
    <t>Operating Income &amp; Charges</t>
  </si>
  <si>
    <t>Non-recurring expense - non-operating</t>
  </si>
  <si>
    <t>Earnings Before Interest &amp; Taxes</t>
  </si>
  <si>
    <t>Foreign exchange gains</t>
  </si>
  <si>
    <t>Other interest and similar income</t>
  </si>
  <si>
    <t>Total interest and similar income</t>
  </si>
  <si>
    <t>Interest expenses on other fin.  Liabilities</t>
  </si>
  <si>
    <t>Other interest and similar expenses</t>
  </si>
  <si>
    <t>The company does not face any liquidity risk as it has unutilised bank facilities to cover its working</t>
  </si>
  <si>
    <t xml:space="preserve">The company deposits short term cash surpluses only with banks of high credit standing. </t>
  </si>
  <si>
    <t>NOTE 23</t>
  </si>
  <si>
    <t>The number of employees at the end of the year was 307 (2004: 278).</t>
  </si>
  <si>
    <t>Meals - Prev. Maintenance</t>
  </si>
  <si>
    <t>Meals - Electrical Superintendent</t>
  </si>
  <si>
    <t>Meals - Quality Control Manager</t>
  </si>
  <si>
    <t>Meals - Commercial Director</t>
  </si>
  <si>
    <t>Meals - Sales Superintendent</t>
  </si>
  <si>
    <t>Safety Gear/Uniforms - Technical Division</t>
  </si>
  <si>
    <t>Safety Gear/Uniforms - Sales</t>
  </si>
  <si>
    <t>Safety Gear/Uniforms - Distribution</t>
  </si>
  <si>
    <t>Safety Gear/Uniforms - Transport</t>
  </si>
  <si>
    <t>510199</t>
  </si>
  <si>
    <t>Social Cost - Human Resources Director</t>
  </si>
  <si>
    <t>511000</t>
  </si>
  <si>
    <t>Consultancy/Professional Fees - Corporate</t>
  </si>
  <si>
    <t>110</t>
  </si>
  <si>
    <t>Consultancy/Professional Fees - Quality Assurance</t>
  </si>
  <si>
    <t>120</t>
  </si>
  <si>
    <t>Consultancy/Professional Fees - Corporate Planning</t>
  </si>
  <si>
    <t>Consultancy/Professional Fees - Accounting</t>
  </si>
  <si>
    <t>Land and Buildings - Net Book Value</t>
  </si>
  <si>
    <t>Meals - Mechanical Superintendent</t>
  </si>
  <si>
    <t>Meals - Civil Superintendent</t>
  </si>
  <si>
    <t>of some projects, the result before tax has been partly offset by the tax allowances</t>
  </si>
  <si>
    <t xml:space="preserve">including the year ended 31 December 2003. </t>
  </si>
  <si>
    <t>Additional tax assessed for year 2002</t>
  </si>
  <si>
    <t>Tax effect on non taxable/non deductible items:</t>
  </si>
  <si>
    <t>Capital &amp; Investment allowances</t>
  </si>
  <si>
    <t>Tax Loss brought forward</t>
  </si>
  <si>
    <t>Non taxable income &amp; credits</t>
  </si>
  <si>
    <t>NOTE 11</t>
  </si>
  <si>
    <t>NOTE 12</t>
  </si>
  <si>
    <t>NOTE 13</t>
  </si>
  <si>
    <t>NOTE 14</t>
  </si>
  <si>
    <t>NOTE 15</t>
  </si>
  <si>
    <t>As at 31.12.2005, the following capital commitments had been approved and contracted for:</t>
  </si>
  <si>
    <t>Phase 4 Expansion Project- Dar Es Salaam Institute of Technology</t>
  </si>
  <si>
    <t>Raw Material Investigation - Quarry</t>
  </si>
  <si>
    <t>NOTE 16</t>
  </si>
  <si>
    <t>Contigent liabilities relates to several court cases on land tresspass, alleged unfair termination</t>
  </si>
  <si>
    <t>of employment contracts and breach of business contracts all amounting to TZS.1,884,355,000</t>
  </si>
  <si>
    <t>NOTE 17</t>
  </si>
  <si>
    <t>LONG TERM FINANCIAL LIABILITIES</t>
  </si>
  <si>
    <t>10% Long term Treasury  Loan</t>
  </si>
  <si>
    <t>Long term loan</t>
  </si>
  <si>
    <t>NOTE  8</t>
  </si>
  <si>
    <t xml:space="preserve">The  facility  is  charged  interest  at  the  rate  of  13%  per  annum.  </t>
  </si>
  <si>
    <t>As  at  balance sheet  date, the facility had not been utilised</t>
  </si>
  <si>
    <t>NOTE 9</t>
  </si>
  <si>
    <t>NOTE 10</t>
  </si>
  <si>
    <t>Fixed Overtime - Clinker Burning</t>
  </si>
  <si>
    <t>Fixed Overtime - Packing Plant</t>
  </si>
  <si>
    <t>Fixed Overtime - Maintenance Manager' Office</t>
  </si>
  <si>
    <t>Fixed Overtime - Mechanical Supt.</t>
  </si>
  <si>
    <t>Fixed Overtime - Civil Eng. Supt</t>
  </si>
  <si>
    <t>Fixed Overtime - Preventive Maintenance</t>
  </si>
  <si>
    <t>Fixed Overtime - Electrical Supt</t>
  </si>
  <si>
    <t>Fixed Overtime - Quality Control Manager</t>
  </si>
  <si>
    <t>Fixed Overtime - Process Supt</t>
  </si>
  <si>
    <t>Fixed Overtime - Mines Supt</t>
  </si>
  <si>
    <t>Resident Magistrate - Kisutu</t>
  </si>
  <si>
    <t>HCA-ACP Programme</t>
  </si>
  <si>
    <t>HCA-ACP Project Technical/Procurement</t>
  </si>
  <si>
    <t>HCA-ACP Project IT/BIS</t>
  </si>
  <si>
    <t>F.L. Smidth &amp; Co. A/S</t>
  </si>
  <si>
    <t>111002</t>
  </si>
  <si>
    <t>Loans to Third Parties - Current Portion</t>
  </si>
  <si>
    <t>111100</t>
  </si>
  <si>
    <t>Prepayments</t>
  </si>
  <si>
    <t>111109</t>
  </si>
  <si>
    <t>Insurance Claim</t>
  </si>
  <si>
    <t>111200</t>
  </si>
  <si>
    <t>Staff Salary Advances</t>
  </si>
  <si>
    <t>111201</t>
  </si>
  <si>
    <t>Staff Imprest</t>
  </si>
  <si>
    <t>111202</t>
  </si>
  <si>
    <t>Staff Sales</t>
  </si>
  <si>
    <t>111203</t>
  </si>
  <si>
    <t>Staff Cheques</t>
  </si>
  <si>
    <t>111204</t>
  </si>
  <si>
    <t>Staff Contributions</t>
  </si>
  <si>
    <t>111205</t>
  </si>
  <si>
    <t>Ex-Employees Staff Advances</t>
  </si>
  <si>
    <t>111300</t>
  </si>
  <si>
    <t>VAT Purchase - Deferred</t>
  </si>
  <si>
    <t>111301</t>
  </si>
  <si>
    <t xml:space="preserve">VAT Purchase - Standard </t>
  </si>
  <si>
    <t>111302</t>
  </si>
  <si>
    <t>VAT Purchase - Imports</t>
  </si>
  <si>
    <t>111400</t>
  </si>
  <si>
    <t>Inter - Company Receivables</t>
  </si>
  <si>
    <t>111500</t>
  </si>
  <si>
    <t>Provision for Bad &amp; Doubtful Debts - Trade</t>
  </si>
  <si>
    <t>111501</t>
  </si>
  <si>
    <t>Provision for Bad &amp; Doubtful Debts - Staff</t>
  </si>
  <si>
    <t>111502</t>
  </si>
  <si>
    <t>Provision for Bad &amp; Doubtful Debts - Others</t>
  </si>
  <si>
    <t>112000</t>
  </si>
  <si>
    <t>StanChart Int. House Branch - TZS</t>
  </si>
  <si>
    <t>StanChart Int. House Branch - USD</t>
  </si>
  <si>
    <t>112010</t>
  </si>
  <si>
    <t>NBC Kawe Branch - TZS</t>
  </si>
  <si>
    <t>112011</t>
  </si>
  <si>
    <t>NBC Mwere Branch - TZS</t>
  </si>
  <si>
    <t>WADU Contributions Payable</t>
  </si>
  <si>
    <t>310306</t>
  </si>
  <si>
    <t>TUICO Contributions Payable</t>
  </si>
  <si>
    <t>310307</t>
  </si>
  <si>
    <t>NIC Contributions Payable</t>
  </si>
  <si>
    <t>310308</t>
  </si>
  <si>
    <t>Workmans' Compensation Payable</t>
  </si>
  <si>
    <t>310309</t>
  </si>
  <si>
    <t>Unclaimed Wages Payable</t>
  </si>
  <si>
    <t>310310</t>
  </si>
  <si>
    <t>THB Loan Payable</t>
  </si>
  <si>
    <t>310311</t>
  </si>
  <si>
    <t>Wazo Hill SACCOS</t>
  </si>
  <si>
    <t>310312</t>
  </si>
  <si>
    <t>Staff costs - sales and maketing</t>
  </si>
  <si>
    <t>Consultancy fees - sales and marketing</t>
  </si>
  <si>
    <t>Lease payments - sales and marketing</t>
  </si>
  <si>
    <t>Other admin. Expenses-sales and marketing</t>
  </si>
  <si>
    <t>Marketing,advertising and sales costs</t>
  </si>
  <si>
    <t>Increase in bad debt provisions-sales &amp; marketing</t>
  </si>
  <si>
    <t>Income-reduction in bad debt prov.-sales&amp;marketing</t>
  </si>
  <si>
    <t>Other expenses - sales and marketing</t>
  </si>
  <si>
    <t>Total Fixed Sales &amp; Marketing Costs</t>
  </si>
  <si>
    <t>Fixed general and administrative costs</t>
  </si>
  <si>
    <t>Other costs of energy-general &amp; administrative</t>
  </si>
  <si>
    <t>Meals - Crusher Supt.</t>
  </si>
  <si>
    <t>Meals - Raw Mills</t>
  </si>
  <si>
    <t>Meals - Cement Mills</t>
  </si>
  <si>
    <t>Meals - Kiln Supt.</t>
  </si>
  <si>
    <t>Meals - Packing Plant Supt</t>
  </si>
  <si>
    <t>THE UNITED REPUBLIC OF TANZANIA</t>
  </si>
  <si>
    <t>PRIME MINISTER’S OFFICE - REGIONAL ADMINISTRATION AND LOCAL GOVERNMENT</t>
  </si>
  <si>
    <t>Other revenue</t>
  </si>
  <si>
    <t>Expenses</t>
  </si>
  <si>
    <t>Produce cess</t>
  </si>
  <si>
    <t>Service levy</t>
  </si>
  <si>
    <t>FEES, FINES, PENALTIES AND LICENSES</t>
  </si>
  <si>
    <t>REVENUE FROM EXCHANGE TRANSACTIONS</t>
  </si>
  <si>
    <t>WAGES, SALARIES AND EMPLOYEE BENEFITS</t>
  </si>
  <si>
    <t>SUPPLIES AND CONSUMABLES USED</t>
  </si>
  <si>
    <t>TSHS'000'</t>
  </si>
  <si>
    <t xml:space="preserve">Opening balance 01.01.2005 </t>
  </si>
  <si>
    <t>Dividends Paid</t>
  </si>
  <si>
    <t>Surplus on Revaluation of Fixed Assets</t>
  </si>
  <si>
    <t>Balance as at 31.12.2005</t>
  </si>
  <si>
    <t>31ST DECEMBER 2005</t>
  </si>
  <si>
    <t>NOTE  1.0</t>
  </si>
  <si>
    <t>PRINCIPAL  ACCOUNTING  POLICIES</t>
  </si>
  <si>
    <t>See separate file</t>
  </si>
  <si>
    <t>NOTE  2</t>
  </si>
  <si>
    <t>PROPERTY, PLANT &amp; EQUIPMENT</t>
  </si>
  <si>
    <t>CAPITAL ITEMS</t>
  </si>
  <si>
    <t>Workers of Tanzania Portland Cement Company to provide retirement benefits to employees reaching</t>
  </si>
  <si>
    <t>Advances to suppliers</t>
  </si>
  <si>
    <t>Total trade creditors - third parties</t>
  </si>
  <si>
    <t>Intercompany Payables</t>
  </si>
  <si>
    <t>Tax payable brought forward</t>
  </si>
  <si>
    <t>Tax payable carried forward</t>
  </si>
  <si>
    <t>Other long-term operating receivables</t>
  </si>
  <si>
    <t>Current year tax</t>
  </si>
  <si>
    <t>Electricity Consumed</t>
  </si>
  <si>
    <t>512004</t>
  </si>
  <si>
    <t>Water Consumed</t>
  </si>
  <si>
    <t>513000</t>
  </si>
  <si>
    <t>Repair &amp; Maint. - Residential Buildings &amp; Equipment</t>
  </si>
  <si>
    <t>513001</t>
  </si>
  <si>
    <t>Repair &amp; Maint. - Off. Bldgs &amp; Equip. - Corporate</t>
  </si>
  <si>
    <t>Repair &amp; Maint. - Off. Bldgs &amp; Equip. - Fin &amp; Admin</t>
  </si>
  <si>
    <t>Repair &amp; Maint. - Off. Bldgs &amp; Equip. - Accounting</t>
  </si>
  <si>
    <t>Repair &amp; Maint. - Off. Bldgs &amp; Equip. - Procurement</t>
  </si>
  <si>
    <t>Repair &amp; Maint. - Off. Bldgs &amp; Equip. - Info. Technology</t>
  </si>
  <si>
    <t>Repair &amp; Maint. - Off. Bldgs &amp; Equip. - Technical Div.</t>
  </si>
  <si>
    <t>Repair &amp; Maint. - Off. Bldgs &amp; Equip. - Mechanical Supt.</t>
  </si>
  <si>
    <t>Note</t>
  </si>
  <si>
    <t>to  make  them  comparable  with  current  year  figures.</t>
  </si>
  <si>
    <t>Disallowable expenses</t>
  </si>
  <si>
    <t>STATEMENT OF FINANCIAL PERFORMANCE</t>
  </si>
  <si>
    <t>STATEMENT OF FINANCIAL POSITION</t>
  </si>
  <si>
    <t>STATEMENT OF CHANGES IN NET ASSETS</t>
  </si>
  <si>
    <t>STATEMENT OF COMPARISON OF BUDGET AND ACTUAL AMOUNT - BY NATURE</t>
  </si>
  <si>
    <t>STATEMENT OF COMPARISON OF BUDGET AND ACTUAL AMOUNT - BY FUNCTION</t>
  </si>
  <si>
    <t>Administration</t>
  </si>
  <si>
    <t>Surplus/(deficit) during the year</t>
  </si>
  <si>
    <t>Attributable to:</t>
  </si>
  <si>
    <t xml:space="preserve">Owners </t>
  </si>
  <si>
    <t>Non-controlling interests</t>
  </si>
  <si>
    <t>Other financial assets</t>
  </si>
  <si>
    <t>NET ASSETS</t>
  </si>
  <si>
    <t>Stationery - Maintenance Manager' Office</t>
  </si>
  <si>
    <t>Stationery - Mechanical Supt.</t>
  </si>
  <si>
    <t>Stationery - Civil Eng. Supt</t>
  </si>
  <si>
    <t>103000</t>
  </si>
  <si>
    <t>Capital Work - In - Progress/Payments in Advance for</t>
  </si>
  <si>
    <t>103100</t>
  </si>
  <si>
    <t>Capital Items in Stock</t>
  </si>
  <si>
    <t>104000</t>
  </si>
  <si>
    <t>Computer Software - Cost</t>
  </si>
  <si>
    <t>104101</t>
  </si>
  <si>
    <t>Computer Software - Accumulated Amortisation</t>
  </si>
  <si>
    <t>105000</t>
  </si>
  <si>
    <t>513004</t>
  </si>
  <si>
    <t>Repair &amp; Maint. - Factory Plant-Electrical - Crushers</t>
  </si>
  <si>
    <t>Repair &amp; Maint. - Factory Plant-Electrical - Raw Mills</t>
  </si>
  <si>
    <t>Repair &amp; Maint. - Factory Plant-Electrical - Cement Mills</t>
  </si>
  <si>
    <t>Repair &amp; Maint. - Factory Plant-Electrical - Kilns</t>
  </si>
  <si>
    <t>Repair &amp; Maint. - Factory Plant-Electrical - P/Plant</t>
  </si>
  <si>
    <t>513005</t>
  </si>
  <si>
    <t>Long-term financial liabilities</t>
  </si>
  <si>
    <t>Long-term financial liabilities (current portion)</t>
  </si>
  <si>
    <t>Short-term operating payables</t>
  </si>
  <si>
    <t>Trade and other payables</t>
  </si>
  <si>
    <t>TRADE AND OTHER PAYABLES</t>
  </si>
  <si>
    <t>iv)</t>
  </si>
  <si>
    <t>Taxation payable</t>
  </si>
  <si>
    <t>Tax charge for the year</t>
  </si>
  <si>
    <t>Prior year taxes</t>
  </si>
  <si>
    <t>Tax payments during the year</t>
  </si>
  <si>
    <t>Currency risk is  the risk that the  value of a financial instrument will fluctuate due to changes in  foreign exchange  rates. Babati District Council is exposed to this risk as it working with Donners who opperates in Dollars. Any negative significant change in Dollars might hinder council activities which have been contracted to the Community.</t>
  </si>
  <si>
    <t>Surplus/(deficit) for the year</t>
  </si>
  <si>
    <t xml:space="preserve">A legal mortgage over Tanzania Portland Cement Company Limited land and building registered to </t>
  </si>
  <si>
    <t>cover 125% of the total facilities amount (present registered charge Tshs. 4,700,000,000=.)</t>
  </si>
  <si>
    <t xml:space="preserve">Contingent asset relates to: </t>
  </si>
  <si>
    <t>Non-current assets</t>
  </si>
  <si>
    <t>Other short-term operating receivables</t>
  </si>
  <si>
    <t>31.12.2005</t>
  </si>
  <si>
    <t>TRIAL  BALANCE  AS  AT  31ST DECEMBER 2005</t>
  </si>
  <si>
    <t>A/C  NO.</t>
  </si>
  <si>
    <t>CC/CU NO.</t>
  </si>
  <si>
    <t>FRANGO</t>
  </si>
  <si>
    <t>DESCRIPTION</t>
  </si>
  <si>
    <t>A/C NO.</t>
  </si>
  <si>
    <t>DR</t>
  </si>
  <si>
    <t>CR</t>
  </si>
  <si>
    <t>100000</t>
  </si>
  <si>
    <t>Leasehold Land - Cost</t>
  </si>
  <si>
    <t>100001</t>
  </si>
  <si>
    <t>Leasehold Land - Accumulated Depreciation</t>
  </si>
  <si>
    <t>100100</t>
  </si>
  <si>
    <t>Potential concentration of credit risk consists principally of short term cash and trade debtors.</t>
  </si>
  <si>
    <t>Tanzania Portland Cement Company Limited in form of remission of sales tax and customs duty</t>
  </si>
  <si>
    <t>Scancem  International  ANS</t>
  </si>
  <si>
    <t xml:space="preserve">The  Company  obtained  a  short  term working capital financing facility from Citibank Tanzania </t>
  </si>
  <si>
    <t>Repair &amp; Maint. - Off. Bldgs &amp; Equip. - Civil Supt.</t>
  </si>
  <si>
    <t>Repair &amp; Maint. - Off. Bldgs &amp; Equip. - Prev. Maint.</t>
  </si>
  <si>
    <t>Repair &amp; Maint. - Off. Bldgs &amp; Equip. - Electrical Section</t>
  </si>
  <si>
    <t>Repair &amp; Maint. - Off. Bldgs &amp; Equip. - Quality Control</t>
  </si>
  <si>
    <t>Repair &amp; Maint. - Off. Bldgs &amp; Equip. - Lab Supt.</t>
  </si>
  <si>
    <t>Repair &amp; Maint. - Off. Bldgs &amp; Equip. - Commercial Div.</t>
  </si>
  <si>
    <t>Repair &amp; Maint. - Off. Bldgs &amp; Equip. - Sales Supt</t>
  </si>
  <si>
    <t>Repair &amp; Maint. - Off. Bldgs &amp; Equip. - Distr. Supt.</t>
  </si>
  <si>
    <t>Repair &amp; Maint. - Off. Bldgs &amp; Equip. - Human Resources Director</t>
  </si>
  <si>
    <t>Buildings &amp; Roads - Cost</t>
  </si>
  <si>
    <t>100101</t>
  </si>
  <si>
    <t>Buildings &amp; Roads - Accumulated Depreciation</t>
  </si>
  <si>
    <t>101000</t>
  </si>
  <si>
    <t>Factory Plant,Machinery &amp; Equipment- Cost</t>
  </si>
  <si>
    <t>101001</t>
  </si>
  <si>
    <t>amounts charged to the income statement in the year are:</t>
  </si>
  <si>
    <t>Skill and Development Levy</t>
  </si>
  <si>
    <t xml:space="preserve">The amount deducted from the employees' salaries and wages in the year in respect </t>
  </si>
  <si>
    <t>of Pay As You Earn is:</t>
  </si>
  <si>
    <t>At year-end, the following amounts, which relate to December remittances, were</t>
  </si>
  <si>
    <t>payable to relevant authorities. These remittances have subsequently been paid</t>
  </si>
  <si>
    <t xml:space="preserve">NOTES TO THE FINANCIAL STATEMENTS FOR THE YEAR PERIOD ENDED </t>
  </si>
  <si>
    <t xml:space="preserve">The company operates a central treasury function to provide competitive funding costs, </t>
  </si>
  <si>
    <t xml:space="preserve">invest and monitor financial risk. Group treasury activity is routinely reported to the Board. </t>
  </si>
  <si>
    <t>The Company does not use derivative financial instruments for speculative purposes.</t>
  </si>
  <si>
    <t>financial statements</t>
  </si>
  <si>
    <t xml:space="preserve">The claim of TZS 2.1 billion for business interruption and property damage on lost sales and  </t>
  </si>
  <si>
    <t xml:space="preserve">clinker production due to fire in production line Kiln II in November 2004. </t>
  </si>
  <si>
    <t>31 DECEMBER  2006</t>
  </si>
  <si>
    <t xml:space="preserve">During the period, the Company entered into transactions with Scancem International ANS of Oslo, Norway </t>
  </si>
  <si>
    <t xml:space="preserve"> the year 2006 were as follows:</t>
  </si>
  <si>
    <t>►Ghacem Limited, Ghana</t>
  </si>
  <si>
    <t>Production Work-In-Progress - Red Soil</t>
  </si>
  <si>
    <t>110202</t>
  </si>
  <si>
    <t>Production Work-In-Progress - Raw Meal</t>
  </si>
  <si>
    <t>110203</t>
  </si>
  <si>
    <t>Production Work-In-Progress - Clinker (Own Production)</t>
  </si>
  <si>
    <t>110204</t>
  </si>
  <si>
    <t>Production Work-In-Progress - Limestone Filler</t>
  </si>
  <si>
    <t>110205</t>
  </si>
  <si>
    <t>Production Work-In-Progress - Crushed Limestone</t>
  </si>
  <si>
    <t>BALANCE SHEET AS AT 31ST DECEMBER 2005</t>
  </si>
  <si>
    <t>Account</t>
  </si>
  <si>
    <t>Software - at cost</t>
  </si>
  <si>
    <t>Software - depreciation</t>
  </si>
  <si>
    <t>Software - Net Book Value</t>
  </si>
  <si>
    <t>Skill &amp; Development Levy - Materials &amp; Services Supt</t>
  </si>
  <si>
    <t>Skill &amp; Development Levy -Technical Director's Office</t>
  </si>
  <si>
    <t>Skill &amp; Development Levy - Production Manager's Office</t>
  </si>
  <si>
    <t>Skill &amp; Development Levy - Crushing</t>
  </si>
  <si>
    <t>Skill &amp; Development Levy - Raw Milling</t>
  </si>
  <si>
    <t>Other Expenses - distribution</t>
  </si>
  <si>
    <t>Repair &amp; Maint. - Vehicles</t>
  </si>
  <si>
    <t>Variable Costs</t>
  </si>
  <si>
    <t>Costs of raw materials and additives</t>
  </si>
  <si>
    <t>Cost of Packing</t>
  </si>
  <si>
    <t>Costs of electricity</t>
  </si>
  <si>
    <t>Fuel costs</t>
  </si>
  <si>
    <t>Costs of factory supplies, repair and repl.  Mat-Variable</t>
  </si>
  <si>
    <t>Inventory change</t>
  </si>
  <si>
    <t>Fixed production costs</t>
  </si>
  <si>
    <t>staff costs - fixed production</t>
  </si>
  <si>
    <t>Non Property Leases &amp; Rental - Cement mills</t>
  </si>
  <si>
    <t>Electricity - Raw Mills</t>
  </si>
  <si>
    <t>Electricity - Cement Mills</t>
  </si>
  <si>
    <t>314</t>
  </si>
  <si>
    <t>Suspense</t>
  </si>
  <si>
    <t>Check figure</t>
  </si>
  <si>
    <t>Foreign Currency Interim Account</t>
  </si>
  <si>
    <t>112100</t>
  </si>
  <si>
    <t>Petty Cash</t>
  </si>
  <si>
    <t>200000</t>
  </si>
  <si>
    <t>Share Capital</t>
  </si>
  <si>
    <t>210000</t>
  </si>
  <si>
    <t>Fixed Asset Revaluation Reserve</t>
  </si>
  <si>
    <t>Government Grant</t>
  </si>
  <si>
    <t>NOTES  1  TO  26  FORM  PART  OF  THE  FINANCIAL STATEMENTS</t>
  </si>
  <si>
    <t>check figure</t>
  </si>
  <si>
    <t>INCOME STATEMENT FOR YEAR ENDED 31ST DECEMBER 2005</t>
  </si>
  <si>
    <t>112012</t>
  </si>
  <si>
    <t>NBC Corporate Branch - TZS</t>
  </si>
  <si>
    <t>112020</t>
  </si>
  <si>
    <t>Citibank - TZS</t>
  </si>
  <si>
    <t>Arri</t>
  </si>
  <si>
    <t>Qameyu</t>
  </si>
  <si>
    <t>Umagi Secondary School</t>
  </si>
  <si>
    <t>Magara Secondary School</t>
  </si>
  <si>
    <t>Magugu Secondary School</t>
  </si>
  <si>
    <t>Gichameda Secondary School</t>
  </si>
  <si>
    <t>Gichameda</t>
  </si>
  <si>
    <t>Mamire Secondary School</t>
  </si>
  <si>
    <t>Endakiso Secondary School</t>
  </si>
  <si>
    <t>Endakiso</t>
  </si>
  <si>
    <t>Mbugwe Secondary School</t>
  </si>
  <si>
    <t>Nkaiti Secondary School</t>
  </si>
  <si>
    <t>Qash Secondary School</t>
  </si>
  <si>
    <t>Riroda Secondary School</t>
  </si>
  <si>
    <t>Ufana Secondary School</t>
  </si>
  <si>
    <t>Ndeki Secondary School</t>
  </si>
  <si>
    <t>Market risk</t>
  </si>
  <si>
    <t>Price risk</t>
  </si>
  <si>
    <t>Currency risk</t>
  </si>
  <si>
    <t>Liquidity risk</t>
  </si>
  <si>
    <t>Electricity - Kilns</t>
  </si>
  <si>
    <t>Electricity - Packing Plant</t>
  </si>
  <si>
    <t>503000</t>
  </si>
  <si>
    <t>Heavy Fuel Oil</t>
  </si>
  <si>
    <t>503001</t>
  </si>
  <si>
    <t>Natural Gas</t>
  </si>
  <si>
    <t>503002</t>
  </si>
  <si>
    <t>Alternative Fuel</t>
  </si>
  <si>
    <t>504000</t>
  </si>
  <si>
    <t>323</t>
  </si>
  <si>
    <t>Machinery Lubricants</t>
  </si>
  <si>
    <t>506000</t>
  </si>
  <si>
    <t>Water</t>
  </si>
  <si>
    <t>506001</t>
  </si>
  <si>
    <t>NOTES TO THE FINANCIAL STATEMENTS (Continued)</t>
  </si>
  <si>
    <t>Total trade creditors</t>
  </si>
  <si>
    <t>Other short-term operating payables</t>
  </si>
  <si>
    <t>Total other short-term operating payables</t>
  </si>
  <si>
    <t>Total trade and other payables</t>
  </si>
  <si>
    <t>Total balance sheet (equity and liabilities)</t>
  </si>
  <si>
    <t>LIABILITIES</t>
  </si>
  <si>
    <t>TOTAL NET ASSETS</t>
  </si>
  <si>
    <t>Stationery - Quality Control Manager</t>
  </si>
  <si>
    <t>Stationery - Process Supt</t>
  </si>
  <si>
    <t>Stationery - Mines Supt</t>
  </si>
  <si>
    <t>TANZANIA  PORTLAND  CEMENT  COMPANY  LIMITED</t>
  </si>
  <si>
    <t>CASH  FLOW  FROM  OPERATING  ACTIVITIES</t>
  </si>
  <si>
    <t>Adjustment  for:</t>
  </si>
  <si>
    <t>Depreciation</t>
  </si>
  <si>
    <t>Changes  in  Working  Capital  Items</t>
  </si>
  <si>
    <t>(Increase)/Decrease  in  Other short-term operating receivables</t>
  </si>
  <si>
    <t>(Increase)/Decrease  in  Long-term operating receivables</t>
  </si>
  <si>
    <t>Increase/(Decrease)  in  Accounts  Payable - Trade</t>
  </si>
  <si>
    <t>Increase/(Decrease)  in  Other Short-term operating payables</t>
  </si>
  <si>
    <t>Corporation  Tax  Paid</t>
  </si>
  <si>
    <t>CASH  FLOWS  FROM  INVESTING  ACTIVITIES</t>
  </si>
  <si>
    <t>Proceeds  from  Disposal  of  Fixed  Assets</t>
  </si>
  <si>
    <t>Total intangible fixed assets</t>
  </si>
  <si>
    <t>Land &amp; Buildings - at cost</t>
  </si>
  <si>
    <t>Land &amp; Buildings - depreciation</t>
  </si>
  <si>
    <t>CASH  FLOWS  FROM  FINANCING  ACTIVITIES</t>
  </si>
  <si>
    <t>Long service leave</t>
  </si>
  <si>
    <t>Retirement gratuities</t>
  </si>
  <si>
    <t>Sick leave</t>
  </si>
  <si>
    <t>Comprising:</t>
  </si>
  <si>
    <t>Health network</t>
  </si>
  <si>
    <t>Software - administration</t>
  </si>
  <si>
    <t>Non Current</t>
  </si>
  <si>
    <t>Stationery</t>
  </si>
  <si>
    <t>Sundry debtors</t>
  </si>
  <si>
    <t>Balance</t>
  </si>
  <si>
    <t>Non-current</t>
  </si>
  <si>
    <t>Current</t>
  </si>
  <si>
    <t>Accrued pay</t>
  </si>
  <si>
    <t>Annual leave</t>
  </si>
  <si>
    <t>310000</t>
  </si>
  <si>
    <t>Trade Payables Control Account</t>
  </si>
  <si>
    <t>310098</t>
  </si>
  <si>
    <t>Stale Cheques</t>
  </si>
  <si>
    <t>310099</t>
  </si>
  <si>
    <t>Provision for early retirement</t>
  </si>
  <si>
    <t>Provision for other employee benefit obligations</t>
  </si>
  <si>
    <t>Total provisions for pensions</t>
  </si>
  <si>
    <t>Provision for recaltivation</t>
  </si>
  <si>
    <t>Provision for guarantees</t>
  </si>
  <si>
    <t>Other long-term provision</t>
  </si>
  <si>
    <t>Total other long-term provisions</t>
  </si>
  <si>
    <t>Cash at Bank and on Hand</t>
  </si>
  <si>
    <t>Cash and cash equivalents</t>
  </si>
  <si>
    <t xml:space="preserve">Subscribed share capital </t>
  </si>
  <si>
    <t>Short-term provisions</t>
  </si>
  <si>
    <t>Provision for retirement benefits (current portion)</t>
  </si>
  <si>
    <t>Bank Loans</t>
  </si>
  <si>
    <t>300001</t>
  </si>
  <si>
    <t>Citibank Loan 2</t>
  </si>
  <si>
    <t>Other long term financial liabilities</t>
  </si>
  <si>
    <t>Current  Maturity - Citibank  Loan</t>
  </si>
  <si>
    <t>Other short term financial liabilities</t>
  </si>
  <si>
    <t xml:space="preserve">due to fire in production line Kiln II in November 2004 </t>
  </si>
  <si>
    <t>So far, compensation amounting to TZS.1,231,157,300 has been received from the Insurance</t>
  </si>
  <si>
    <t>Company.</t>
  </si>
  <si>
    <t>NOTE 18</t>
  </si>
  <si>
    <t xml:space="preserve">During the year the company entered into transactions with Scancem International ANS of Oslo, Norway </t>
  </si>
  <si>
    <t xml:space="preserve">which owns 63.31% shares of the Company. The company imports raw materials, machinery, spare parts </t>
  </si>
  <si>
    <t>FINANCIAL RISK MANAGEMENT, OBJECTIVES AND POLICIES</t>
  </si>
  <si>
    <t>FINANCIAL RISK MANAGEMENT, OBJECTIVES AND POLICIES (Continued)</t>
  </si>
  <si>
    <t>Explanation</t>
  </si>
  <si>
    <t>EXPLANATION OF MAJOR VARIANCES AGAINST THE BUDGET</t>
  </si>
  <si>
    <t>Type of budget item</t>
  </si>
  <si>
    <t xml:space="preserve">Previous  year  figures  have  been  regrouped  whenever  considered   necessary  </t>
  </si>
  <si>
    <t>in order to  make  them  comparable  with  current  year  figures.</t>
  </si>
  <si>
    <t>INCOME STATEMENT ITEMS FOR THE PERIOD ENDED 31ST DECEMBER 2006</t>
  </si>
  <si>
    <t>Changes in Provision for Bad &amp; Doubtful Debts-Staff</t>
  </si>
  <si>
    <t>BALANCE SHEET ITEMS AS AT 31ST DECEMBER 2006</t>
  </si>
  <si>
    <t>Fixed Deposit Account</t>
  </si>
  <si>
    <t xml:space="preserve">Provision for Other Employee benefits Current </t>
  </si>
  <si>
    <t>Provision For Leave pay</t>
  </si>
  <si>
    <t>Amortisation of capital grant</t>
  </si>
  <si>
    <t>Hotel/Guest house levy</t>
  </si>
  <si>
    <t>520002</t>
  </si>
  <si>
    <t>Foreign Exchange Losses - Realised</t>
  </si>
  <si>
    <t>520003</t>
  </si>
  <si>
    <t>Bank Charges</t>
  </si>
  <si>
    <t>530000</t>
  </si>
  <si>
    <t>Depreciation Expense - Land</t>
  </si>
  <si>
    <t>530001</t>
  </si>
  <si>
    <t>110300</t>
  </si>
  <si>
    <t>Finished Goods - 'Twiga Extra' Cement</t>
  </si>
  <si>
    <t>110301</t>
  </si>
  <si>
    <t>Finished Goods - 'Twiga Ordinary' Cement</t>
  </si>
  <si>
    <t>110400</t>
  </si>
  <si>
    <t>General Stores</t>
  </si>
  <si>
    <t>110410</t>
  </si>
  <si>
    <t>Diesel Stocks</t>
  </si>
  <si>
    <t>110411</t>
  </si>
  <si>
    <t>Fuels and Oils</t>
  </si>
  <si>
    <t>110420</t>
  </si>
  <si>
    <t>Chemicals</t>
  </si>
  <si>
    <t>110430</t>
  </si>
  <si>
    <t xml:space="preserve">Twiga Shop </t>
  </si>
  <si>
    <t>110450</t>
  </si>
  <si>
    <t>Standard Cement Bags</t>
  </si>
  <si>
    <t>110451</t>
  </si>
  <si>
    <t>Big Cement Bags</t>
  </si>
  <si>
    <t>110498</t>
  </si>
  <si>
    <t>Specific service fees</t>
  </si>
  <si>
    <t>Licenses and permits on business activities</t>
  </si>
  <si>
    <t>Licenses on extraction of forest products</t>
  </si>
  <si>
    <t>LOCAL TAXES</t>
  </si>
  <si>
    <t>Fines and penalties</t>
  </si>
  <si>
    <t>Hire/rent of council housing</t>
  </si>
  <si>
    <t>Hire/rent of council plant, vehicles and other assets</t>
  </si>
  <si>
    <t>Other own revenue</t>
  </si>
  <si>
    <t>OTHER OWN REVENUE</t>
  </si>
  <si>
    <t>Voluntary contributions and other</t>
  </si>
  <si>
    <t>Human resource management and development</t>
  </si>
  <si>
    <t>Trade and economic affairs</t>
  </si>
  <si>
    <t>Livestock</t>
  </si>
  <si>
    <t>Agriculture</t>
  </si>
  <si>
    <t>Education</t>
  </si>
  <si>
    <t>Primary health services</t>
  </si>
  <si>
    <t>Works</t>
  </si>
  <si>
    <t>Lands</t>
  </si>
  <si>
    <t>Natural resources</t>
  </si>
  <si>
    <t>Community development, gender and children</t>
  </si>
  <si>
    <t>Distribution costs:</t>
  </si>
  <si>
    <t>Staff costs - distribution</t>
  </si>
  <si>
    <t>Freight outbound</t>
  </si>
  <si>
    <t>Third party commission</t>
  </si>
  <si>
    <t>Other expenses - distribution</t>
  </si>
  <si>
    <t>Total Distribution Costs</t>
  </si>
  <si>
    <t>Net Sales</t>
  </si>
  <si>
    <t>Variable costs:</t>
  </si>
  <si>
    <t xml:space="preserve">Costs of raw materials and additives </t>
  </si>
  <si>
    <t>Costs of packaging</t>
  </si>
  <si>
    <t>Costs of electricity - variable</t>
  </si>
  <si>
    <t>Fuel costs variable</t>
  </si>
  <si>
    <t>Costs of fact. Supplies repair &amp; replacem. Mat-var</t>
  </si>
  <si>
    <t>Costs of goods for resale - variable</t>
  </si>
  <si>
    <t>Other costs of materials - variable</t>
  </si>
  <si>
    <t>Dividends  Paid</t>
  </si>
  <si>
    <t>Cash  and  Cash  Equivalents  at  Beginning  of  the  Year</t>
  </si>
  <si>
    <t>Cash  on  Hand  and  Balances  with  Banks</t>
  </si>
  <si>
    <t>Bank  Overdraft</t>
  </si>
  <si>
    <t>Costs of electricity - fixed production</t>
  </si>
  <si>
    <t>Fuel costs - fixed production</t>
  </si>
  <si>
    <t>Staff costs - fixed production</t>
  </si>
  <si>
    <t>Consultancy fees - fixed production</t>
  </si>
  <si>
    <t>Lease payments - fixed production</t>
  </si>
  <si>
    <t>Other administration expenses-fixed production</t>
  </si>
  <si>
    <t>Third party repair &amp; services - fixed production</t>
  </si>
  <si>
    <t>Costs of fact. Supplies,repair &amp; replacem mat.fix</t>
  </si>
  <si>
    <t>Other expenses - fixed production</t>
  </si>
  <si>
    <t>Total Fixed Production Costs</t>
  </si>
  <si>
    <t>Fixed sales and marketing costs</t>
  </si>
  <si>
    <t>Overtime - Civil Eng. Supt</t>
  </si>
  <si>
    <t>Overtime - Preventive Maintenance</t>
  </si>
  <si>
    <t xml:space="preserve">Corporation of Tanzania Ltd and a voluntary agreement with Tanzania Union of Industrial and Commercial </t>
  </si>
  <si>
    <t>Staff Retirement Benefit Scheme</t>
  </si>
  <si>
    <t>Other statutory payroll remittances include Pay As You Earn (PAYE), Skill and</t>
  </si>
  <si>
    <t>Development Levy (SDL). PAYE and SDL are payable by the Company to the</t>
  </si>
  <si>
    <t>Tanzania Revenue Authority in accordance with the Income Tax Act, 2004.The</t>
  </si>
  <si>
    <t>Registered Invoices (Out for Authorisation)</t>
  </si>
  <si>
    <t>110500</t>
  </si>
  <si>
    <t>Provision for Obsolete/Slow Moving Stocks</t>
  </si>
  <si>
    <t>111000</t>
  </si>
  <si>
    <t>Trade Receivables Control Account</t>
  </si>
  <si>
    <t>111001</t>
  </si>
  <si>
    <t>Non-Trade Receivables Control Account:</t>
  </si>
  <si>
    <t>Non - Staff  Sales</t>
  </si>
  <si>
    <t>Cement to Suppliers Clearance</t>
  </si>
  <si>
    <t>The  Aga  Khan  Hospital</t>
  </si>
  <si>
    <t>Tanga  Cement  Company  Ltd</t>
  </si>
  <si>
    <t>Mbeya  Cement  Company</t>
  </si>
  <si>
    <t>Staff costs</t>
  </si>
  <si>
    <t>COST OF SALES</t>
  </si>
  <si>
    <t>Distribution costs</t>
  </si>
  <si>
    <t>Variable costs</t>
  </si>
  <si>
    <t>Leasehold land</t>
  </si>
  <si>
    <t>LEASEHOLD LAND</t>
  </si>
  <si>
    <t>Depreciation Expense - Buildings &amp; Roads</t>
  </si>
  <si>
    <t>530100</t>
  </si>
  <si>
    <t>Depreciation Expense - Factory Plant, Machinery &amp; Equip.</t>
  </si>
  <si>
    <t>530101</t>
  </si>
  <si>
    <t>Depreciation Expense - Quarry Plant, Machinery &amp; Equip.</t>
  </si>
  <si>
    <t>530200</t>
  </si>
  <si>
    <t>Depreciation Expense - Other Equipment &amp; Furniture</t>
  </si>
  <si>
    <t>530201</t>
  </si>
  <si>
    <t>Depreciation Expense - Motor Vehicles</t>
  </si>
  <si>
    <t>530202</t>
  </si>
  <si>
    <t>Depreciation Expense - Computer Hardware</t>
  </si>
  <si>
    <t>530300</t>
  </si>
  <si>
    <t>Amortisation Expense - Computer Software</t>
  </si>
  <si>
    <t>531000</t>
  </si>
  <si>
    <t>Loss on Sale of Fixed Assets</t>
  </si>
  <si>
    <t>531001</t>
  </si>
  <si>
    <t>Loss on Revaluation of Fixed Assets</t>
  </si>
  <si>
    <t>540000</t>
  </si>
  <si>
    <t>Corporate Tax Expense</t>
  </si>
  <si>
    <t>540001</t>
  </si>
  <si>
    <t xml:space="preserve">Deferred Tax Expense </t>
  </si>
  <si>
    <t>540002</t>
  </si>
  <si>
    <t>Local Gorvenment Levies &amp; Taxes</t>
  </si>
  <si>
    <t>540003</t>
  </si>
  <si>
    <t>Property Taxes</t>
  </si>
  <si>
    <t>600000</t>
  </si>
  <si>
    <t>Inventory change - variable (+ income/-cost)</t>
  </si>
  <si>
    <t>Staff costs - variable</t>
  </si>
  <si>
    <t>Total Variable Costs</t>
  </si>
  <si>
    <t>Gross Margin</t>
  </si>
  <si>
    <t>Fixed production cost</t>
  </si>
  <si>
    <t>The basic and diluted earnings per share are the same as there are no convertible instruments.</t>
  </si>
  <si>
    <t>Earnings per share</t>
  </si>
  <si>
    <t>Cash and bank balances</t>
  </si>
  <si>
    <t>Location</t>
  </si>
  <si>
    <t>Treasury Loan</t>
  </si>
  <si>
    <t>Hospital Supplies</t>
  </si>
  <si>
    <t>Local Government Levies &amp; Taxes Payable</t>
  </si>
  <si>
    <t>311100</t>
  </si>
  <si>
    <t>VAT Netting Account</t>
  </si>
  <si>
    <t>311101</t>
  </si>
  <si>
    <t>VAT Payable - Output</t>
  </si>
  <si>
    <t>311102</t>
  </si>
  <si>
    <t>VAT Payable - Special Relief</t>
  </si>
  <si>
    <t>311200</t>
  </si>
  <si>
    <t>Corporation Tax Payable</t>
  </si>
  <si>
    <t>311201</t>
  </si>
  <si>
    <t>Withholding Taxes Payable</t>
  </si>
  <si>
    <t>311202</t>
  </si>
  <si>
    <t>Deferred Tax</t>
  </si>
  <si>
    <t>311203</t>
  </si>
  <si>
    <t>Withholding Taxes Payable - Foreign payments</t>
  </si>
  <si>
    <t>320000</t>
  </si>
  <si>
    <t>Provision for Retirement Benefits</t>
  </si>
  <si>
    <t>Provision for Retirement Benefits (current portion)</t>
  </si>
  <si>
    <t>320001</t>
  </si>
  <si>
    <t>Provision for Other Employee Benefits</t>
  </si>
  <si>
    <t>Provision for Other Employee Benefits (current portion)</t>
  </si>
  <si>
    <t>320002</t>
  </si>
  <si>
    <t>Provision for Earned Leave</t>
  </si>
  <si>
    <t>Provision for Earned Leave (current portion)</t>
  </si>
  <si>
    <t>400000</t>
  </si>
  <si>
    <t>Sale - 'Twiga Extra' Cement</t>
  </si>
  <si>
    <t>400001</t>
  </si>
  <si>
    <t>Sale - 'Twiga Ordinary' Cement</t>
  </si>
  <si>
    <t>410000</t>
  </si>
  <si>
    <t>Rental Income</t>
  </si>
  <si>
    <t>410001</t>
  </si>
  <si>
    <t>Profit on Sale of Fixed Assets</t>
  </si>
  <si>
    <t>410002</t>
  </si>
  <si>
    <t>Foreign Exchange Gains - Unrealised</t>
  </si>
  <si>
    <t>410003</t>
  </si>
  <si>
    <t>Foreign Exchange Gains - Realised</t>
  </si>
  <si>
    <t>410004</t>
  </si>
  <si>
    <t>Other Income</t>
  </si>
  <si>
    <t>410005</t>
  </si>
  <si>
    <t>Purchase Discount</t>
  </si>
  <si>
    <t>410006</t>
  </si>
  <si>
    <t>Freight Income</t>
  </si>
  <si>
    <t>410007</t>
  </si>
  <si>
    <t>Interest Income</t>
  </si>
  <si>
    <t>410008</t>
  </si>
  <si>
    <t>Sale of Scraps, Empties, Obsoletes etc</t>
  </si>
  <si>
    <t>500000</t>
  </si>
  <si>
    <t>313</t>
  </si>
  <si>
    <t>Clinker - Purchased Locally</t>
  </si>
  <si>
    <t>500001</t>
  </si>
  <si>
    <t>Clinker - Imported</t>
  </si>
  <si>
    <t>500100</t>
  </si>
  <si>
    <t>311</t>
  </si>
  <si>
    <t>Limestone</t>
  </si>
  <si>
    <t>500101</t>
  </si>
  <si>
    <t>Iron Ore</t>
  </si>
  <si>
    <t>500200</t>
  </si>
  <si>
    <t>Gypsum</t>
  </si>
  <si>
    <t>500300</t>
  </si>
  <si>
    <t>Cement Filler</t>
  </si>
  <si>
    <t>501000</t>
  </si>
  <si>
    <t>315</t>
  </si>
  <si>
    <t>Standard Bags - Wazo P/P</t>
  </si>
  <si>
    <t>330</t>
  </si>
  <si>
    <t>Standard Bags - Quality Control</t>
  </si>
  <si>
    <t>420</t>
  </si>
  <si>
    <t>Standard Bags - Distribution</t>
  </si>
  <si>
    <t>501001</t>
  </si>
  <si>
    <t>Big Bags</t>
  </si>
  <si>
    <t>502000</t>
  </si>
  <si>
    <t>300</t>
  </si>
  <si>
    <t>Electricity - Technical Division Office</t>
  </si>
  <si>
    <t>Electricity - Crushing</t>
  </si>
  <si>
    <t>312</t>
  </si>
  <si>
    <t>At 31 December 2005</t>
  </si>
  <si>
    <t>NOTE 24</t>
  </si>
  <si>
    <t>The company is incorporated in Tanzania under the Companies Ordinance Cap. 212.</t>
  </si>
  <si>
    <t>Deferred income (Recurrent )</t>
  </si>
  <si>
    <t>Deferred income (Capital )</t>
  </si>
  <si>
    <t>Village/School accounts</t>
  </si>
  <si>
    <t>MMES</t>
  </si>
  <si>
    <t>Gijedaboshka</t>
  </si>
  <si>
    <t>Gijedabung</t>
  </si>
  <si>
    <t>Mwinkatsi</t>
  </si>
  <si>
    <t>Endamanang</t>
  </si>
  <si>
    <t>Gabadaw</t>
  </si>
  <si>
    <t>Depreciation of Property, Plant and Equipment</t>
  </si>
  <si>
    <t>Budget (Tsh. 000)</t>
  </si>
  <si>
    <t>Balance c/f        (Tsh 000)</t>
  </si>
  <si>
    <t>Actual revenue received(Tsh.000)</t>
  </si>
  <si>
    <t>Total capital receipt (Tsh.000)</t>
  </si>
  <si>
    <t>Actual expenditure     (Tsh000)</t>
  </si>
  <si>
    <t>Unapplied capital       (Tshs 000)</t>
  </si>
  <si>
    <t>Cost / Revaluation (Tshs. 000)</t>
  </si>
  <si>
    <t>Accumulated depreciation and Accumulated impairment (Tsh. 000)</t>
  </si>
  <si>
    <t>TZS'000</t>
  </si>
  <si>
    <t>Motor vehicles&amp;Cycles</t>
  </si>
  <si>
    <t>Own Source Cash account</t>
  </si>
  <si>
    <t>Personal Emoluments  Cash account</t>
  </si>
  <si>
    <t>Other Charges Cash account</t>
  </si>
  <si>
    <t>Misc. Deposits Cash account</t>
  </si>
  <si>
    <t>Development Cash account</t>
  </si>
  <si>
    <t>Road Fund Cash  account</t>
  </si>
  <si>
    <t>Nari Secondary School</t>
  </si>
  <si>
    <t>Endamanag Secondary School</t>
  </si>
  <si>
    <t>Utwari Secondary School</t>
  </si>
  <si>
    <t>Nari</t>
  </si>
  <si>
    <t>Total  funds available during the year</t>
  </si>
  <si>
    <t>NWSSP cash account</t>
  </si>
  <si>
    <t>Grants and other transfer payments</t>
  </si>
  <si>
    <t>Applied Capital receipt</t>
  </si>
  <si>
    <t>Plant and Machinery</t>
  </si>
  <si>
    <t>Agriculture &amp; Cooperatives</t>
  </si>
  <si>
    <t>2015</t>
  </si>
  <si>
    <t>2014/2015</t>
  </si>
  <si>
    <t>Description</t>
  </si>
  <si>
    <t>Debit</t>
  </si>
  <si>
    <t>Credit</t>
  </si>
  <si>
    <t>110802</t>
  </si>
  <si>
    <t>Land Rent</t>
  </si>
  <si>
    <t>110815</t>
  </si>
  <si>
    <t>Other produce cess</t>
  </si>
  <si>
    <t>110851</t>
  </si>
  <si>
    <t>Service Levy</t>
  </si>
  <si>
    <t>110853</t>
  </si>
  <si>
    <t>Other Levies on Business Activity</t>
  </si>
  <si>
    <t>140283</t>
  </si>
  <si>
    <t>Tender fee</t>
  </si>
  <si>
    <t>140289</t>
  </si>
  <si>
    <t>Land survey service fee</t>
  </si>
  <si>
    <t>140291</t>
  </si>
  <si>
    <t>Magulio fees</t>
  </si>
  <si>
    <t>140293</t>
  </si>
  <si>
    <t>Meat inspection charges</t>
  </si>
  <si>
    <t>Advertising fee</t>
  </si>
  <si>
    <t>140370</t>
  </si>
  <si>
    <t>Intoxicating liquor license fee</t>
  </si>
  <si>
    <t>140371</t>
  </si>
  <si>
    <t>Other business licence fees</t>
  </si>
  <si>
    <t>140375</t>
  </si>
  <si>
    <t>Building materials extraction license fee</t>
  </si>
  <si>
    <t>140384</t>
  </si>
  <si>
    <t>Other fines and penalties</t>
  </si>
  <si>
    <t>140387</t>
  </si>
  <si>
    <t>140392</t>
  </si>
  <si>
    <t>Central bus stand fees</t>
  </si>
  <si>
    <t>140407</t>
  </si>
  <si>
    <t>Revenue from renting of assets</t>
  </si>
  <si>
    <t>140408</t>
  </si>
  <si>
    <t>Revenue from renting of houses</t>
  </si>
  <si>
    <t>130113</t>
  </si>
  <si>
    <t>130114</t>
  </si>
  <si>
    <t>130121</t>
  </si>
  <si>
    <t>130123</t>
  </si>
  <si>
    <t>130202</t>
  </si>
  <si>
    <t>OC Grants</t>
  </si>
  <si>
    <t>130201</t>
  </si>
  <si>
    <t>PE Grants</t>
  </si>
  <si>
    <t>210101</t>
  </si>
  <si>
    <t>Civil Sevants</t>
  </si>
  <si>
    <t>210301</t>
  </si>
  <si>
    <t>210303</t>
  </si>
  <si>
    <t>210314</t>
  </si>
  <si>
    <t>210315</t>
  </si>
  <si>
    <t>Subsistance Allowance</t>
  </si>
  <si>
    <t>210317</t>
  </si>
  <si>
    <t>On Call Allowance</t>
  </si>
  <si>
    <t>210319</t>
  </si>
  <si>
    <t>210329</t>
  </si>
  <si>
    <t>210502</t>
  </si>
  <si>
    <t>210503</t>
  </si>
  <si>
    <t>210508</t>
  </si>
  <si>
    <t>Accommodation in Lieu of Quarters</t>
  </si>
  <si>
    <t>220101</t>
  </si>
  <si>
    <t>220102</t>
  </si>
  <si>
    <t>Computer Supplies and Accessories</t>
  </si>
  <si>
    <t>220103</t>
  </si>
  <si>
    <t>Printing and Photocopy paper</t>
  </si>
  <si>
    <t>220112</t>
  </si>
  <si>
    <t>Outsourcing Costs</t>
  </si>
  <si>
    <t>220113</t>
  </si>
  <si>
    <t>Cleaning Supplies</t>
  </si>
  <si>
    <t>220201</t>
  </si>
  <si>
    <t>Electricity</t>
  </si>
  <si>
    <t>220202</t>
  </si>
  <si>
    <t>Water Charges</t>
  </si>
  <si>
    <t>220301</t>
  </si>
  <si>
    <t>220302</t>
  </si>
  <si>
    <t>220402</t>
  </si>
  <si>
    <t>220403</t>
  </si>
  <si>
    <t>Special Foods (diet food)</t>
  </si>
  <si>
    <t>220404</t>
  </si>
  <si>
    <t>Dental Supplies</t>
  </si>
  <si>
    <t>220405</t>
  </si>
  <si>
    <t>220407</t>
  </si>
  <si>
    <t>Laboratory Supplies</t>
  </si>
  <si>
    <t>220410</t>
  </si>
  <si>
    <t>Consumble Medical Supplies</t>
  </si>
  <si>
    <t>220609</t>
  </si>
  <si>
    <t>Special Uniforms and Clothing</t>
  </si>
  <si>
    <t>220702</t>
  </si>
  <si>
    <t>220709</t>
  </si>
  <si>
    <t>220801</t>
  </si>
  <si>
    <t>220802</t>
  </si>
  <si>
    <t>Tuition Fees</t>
  </si>
  <si>
    <t>220808</t>
  </si>
  <si>
    <t>Training Materials</t>
  </si>
  <si>
    <t>220810</t>
  </si>
  <si>
    <t>Ground Transport (Bus, Train, Water)</t>
  </si>
  <si>
    <t>221002</t>
  </si>
  <si>
    <t>221005</t>
  </si>
  <si>
    <t>221102</t>
  </si>
  <si>
    <t>Ground travel (bus, railway taxi, etc)</t>
  </si>
  <si>
    <t>221201</t>
  </si>
  <si>
    <t>Internet and Email connections</t>
  </si>
  <si>
    <t>221202</t>
  </si>
  <si>
    <t>Posts and Telegraphs</t>
  </si>
  <si>
    <t>221205</t>
  </si>
  <si>
    <t>Advertising and Publication</t>
  </si>
  <si>
    <t>221210</t>
  </si>
  <si>
    <t>221211</t>
  </si>
  <si>
    <t>221212</t>
  </si>
  <si>
    <t>221311</t>
  </si>
  <si>
    <t>Examination Expenses</t>
  </si>
  <si>
    <t>221314</t>
  </si>
  <si>
    <t>Capitation Costs</t>
  </si>
  <si>
    <t>221315</t>
  </si>
  <si>
    <t>School Meals</t>
  </si>
  <si>
    <t>221401</t>
  </si>
  <si>
    <t>Exhibition,Festivals and Celebrations</t>
  </si>
  <si>
    <t>221404</t>
  </si>
  <si>
    <t>221406</t>
  </si>
  <si>
    <t>221501</t>
  </si>
  <si>
    <t>229905</t>
  </si>
  <si>
    <t>Security Services</t>
  </si>
  <si>
    <t>229911</t>
  </si>
  <si>
    <t>229920</t>
  </si>
  <si>
    <t>Burial Expenses</t>
  </si>
  <si>
    <t>230107</t>
  </si>
  <si>
    <t>230210</t>
  </si>
  <si>
    <t>230408</t>
  </si>
  <si>
    <t>230605</t>
  </si>
  <si>
    <t>230701</t>
  </si>
  <si>
    <t>Computers, printers, scanners etc</t>
  </si>
  <si>
    <t>230706</t>
  </si>
  <si>
    <t>260502</t>
  </si>
  <si>
    <t>Councillors Allowance</t>
  </si>
  <si>
    <t>260505</t>
  </si>
  <si>
    <t>Relief Assistance</t>
  </si>
  <si>
    <t>271111</t>
  </si>
  <si>
    <t>271112</t>
  </si>
  <si>
    <t>Fund Transfers to Village Councils</t>
  </si>
  <si>
    <t>271115</t>
  </si>
  <si>
    <t>Fund Transfers to Health facilities</t>
  </si>
  <si>
    <t>271201</t>
  </si>
  <si>
    <t>Women and Youth Development Fund</t>
  </si>
  <si>
    <t>280404</t>
  </si>
  <si>
    <t>Settlement of Medical Treatment Claims</t>
  </si>
  <si>
    <t>290704</t>
  </si>
  <si>
    <t>Domestic Debts</t>
  </si>
  <si>
    <t>331201</t>
  </si>
  <si>
    <t>Sundry Creditors</t>
  </si>
  <si>
    <t>331204</t>
  </si>
  <si>
    <t>331206</t>
  </si>
  <si>
    <t>Michango ya Mwenge</t>
  </si>
  <si>
    <t>331209</t>
  </si>
  <si>
    <t>Other deposits</t>
  </si>
  <si>
    <t>410211</t>
  </si>
  <si>
    <t>Motor Cyles</t>
  </si>
  <si>
    <t>410406</t>
  </si>
  <si>
    <t>Medical Equipment</t>
  </si>
  <si>
    <t>410601</t>
  </si>
  <si>
    <t>Computers and Photocopiers</t>
  </si>
  <si>
    <t>410807</t>
  </si>
  <si>
    <t>Motor Cycles</t>
  </si>
  <si>
    <t>420105</t>
  </si>
  <si>
    <t>610112</t>
  </si>
  <si>
    <t>690301</t>
  </si>
  <si>
    <t>Own Source Cash Account</t>
  </si>
  <si>
    <t>690302</t>
  </si>
  <si>
    <t>Personal Emolument Cash Account</t>
  </si>
  <si>
    <t>690303</t>
  </si>
  <si>
    <t>Other Charges Cash Account</t>
  </si>
  <si>
    <t>690304</t>
  </si>
  <si>
    <t>Development Cash Account</t>
  </si>
  <si>
    <t>690305</t>
  </si>
  <si>
    <t>Road Fund Cash Account</t>
  </si>
  <si>
    <t>690306</t>
  </si>
  <si>
    <t>Misc Deposit Cash Account</t>
  </si>
  <si>
    <t>690308</t>
  </si>
  <si>
    <t>NWSDP Cash Account</t>
  </si>
  <si>
    <t>Employee benefit Claims</t>
  </si>
  <si>
    <t>Minimun Compulsory Reserves</t>
  </si>
  <si>
    <t>Tanzania Social Action Fund (TASAF)</t>
  </si>
  <si>
    <t>RWSSP</t>
  </si>
  <si>
    <t>Staff advances</t>
  </si>
  <si>
    <t>Global Funds</t>
  </si>
  <si>
    <t xml:space="preserve">LGCDG(CDG) </t>
  </si>
  <si>
    <t>Govt Grants(Bottleneck Project)</t>
  </si>
  <si>
    <t xml:space="preserve">Govt Grants(CDF) </t>
  </si>
  <si>
    <t>NWSSP</t>
  </si>
  <si>
    <t>Bottleneck</t>
  </si>
  <si>
    <t>CASH AND CASH EQUIVALENT</t>
  </si>
  <si>
    <t>RECEIVABLES AND PREPAYMENT</t>
  </si>
  <si>
    <t xml:space="preserve">Staff advances </t>
  </si>
  <si>
    <t>Employee benefit claims</t>
  </si>
  <si>
    <t>Recurrent</t>
  </si>
  <si>
    <t>Capital</t>
  </si>
  <si>
    <t>Government Grants(MSD)</t>
  </si>
  <si>
    <t>ADMIN, CDG,TACAIDS</t>
  </si>
  <si>
    <t>Road Fund</t>
  </si>
  <si>
    <t xml:space="preserve">FEE,FINES,PENALTIES AND LICENCES </t>
  </si>
  <si>
    <t>OTHER REVENUES</t>
  </si>
  <si>
    <t>RECURRENT GRANTS</t>
  </si>
  <si>
    <t>CAPITAL GRANTS</t>
  </si>
  <si>
    <t>MSD</t>
  </si>
  <si>
    <t>Government Grants(MSD) - Receipt in Kind</t>
  </si>
  <si>
    <t>AS AT 30 JUNE 2016</t>
  </si>
  <si>
    <t>FOR THE YEAR ENDED 30 JUNE 2016</t>
  </si>
  <si>
    <t>FOR THE YEAR ENDED 30th. JUNE 2016</t>
  </si>
  <si>
    <t>2016</t>
  </si>
  <si>
    <t>Health Sector cash account</t>
  </si>
  <si>
    <t>Education Sector cash account</t>
  </si>
  <si>
    <t>MVF</t>
  </si>
  <si>
    <t>110807</t>
  </si>
  <si>
    <t>Maize Crop cess</t>
  </si>
  <si>
    <t>110813</t>
  </si>
  <si>
    <t>Tobacco Crop cess</t>
  </si>
  <si>
    <t>140292</t>
  </si>
  <si>
    <t>Market stalls / slabs dues</t>
  </si>
  <si>
    <t>140351</t>
  </si>
  <si>
    <t>140368</t>
  </si>
  <si>
    <t>Revenue Other</t>
  </si>
  <si>
    <t>140376</t>
  </si>
  <si>
    <t>Forest produce license fees</t>
  </si>
  <si>
    <t>140377</t>
  </si>
  <si>
    <t>Hunting licenses fees</t>
  </si>
  <si>
    <t>140380</t>
  </si>
  <si>
    <t>Building permit fee</t>
  </si>
  <si>
    <t>140381</t>
  </si>
  <si>
    <t>Fishing vessel licence fees</t>
  </si>
  <si>
    <t>140383</t>
  </si>
  <si>
    <t>By law fines</t>
  </si>
  <si>
    <t>Permit fees for billboards, posters or hoarding</t>
  </si>
  <si>
    <t>140388</t>
  </si>
  <si>
    <t>Refuse collection service fee</t>
  </si>
  <si>
    <t>140390</t>
  </si>
  <si>
    <t>Auction mart fees</t>
  </si>
  <si>
    <t>140397</t>
  </si>
  <si>
    <t>Fish auction fee</t>
  </si>
  <si>
    <t>140399</t>
  </si>
  <si>
    <t>Health facility user charges</t>
  </si>
  <si>
    <t>210208</t>
  </si>
  <si>
    <t>Local Staff Salaries</t>
  </si>
  <si>
    <t>Leave Travel</t>
  </si>
  <si>
    <t>Extra-Duty</t>
  </si>
  <si>
    <t>Sitting Allowance</t>
  </si>
  <si>
    <t>Medical and Dental Refunds</t>
  </si>
  <si>
    <t>210320</t>
  </si>
  <si>
    <t>Moving Expenses</t>
  </si>
  <si>
    <t>Housing Allowance</t>
  </si>
  <si>
    <t>Food and Refreshment</t>
  </si>
  <si>
    <t>Office Consumables</t>
  </si>
  <si>
    <t>Petrol</t>
  </si>
  <si>
    <t>Diesel</t>
  </si>
  <si>
    <t>Drugs and Medicines</t>
  </si>
  <si>
    <t>220406</t>
  </si>
  <si>
    <t>Post Mortem Expenses</t>
  </si>
  <si>
    <t>220512</t>
  </si>
  <si>
    <t>Peoples Militia</t>
  </si>
  <si>
    <t>Rent -  Housing</t>
  </si>
  <si>
    <t>Conference Facilities</t>
  </si>
  <si>
    <t>Accommodation</t>
  </si>
  <si>
    <t>Per Diem - Domestic</t>
  </si>
  <si>
    <t>Telephone Equipment (mobile)</t>
  </si>
  <si>
    <t>Telephone Charges (Land Lines)</t>
  </si>
  <si>
    <t>Mobile Charges</t>
  </si>
  <si>
    <t>221301</t>
  </si>
  <si>
    <t>Textbooks</t>
  </si>
  <si>
    <t>Food and Refreshments</t>
  </si>
  <si>
    <t>Gifts and Prizes</t>
  </si>
  <si>
    <t>Seeds</t>
  </si>
  <si>
    <t>Valuation fees</t>
  </si>
  <si>
    <t>Outsource maintenance contract services</t>
  </si>
  <si>
    <t>Outsource Maintenance Contract Services</t>
  </si>
  <si>
    <t>230301</t>
  </si>
  <si>
    <t>Cement, bricks and construction materials</t>
  </si>
  <si>
    <t>230302</t>
  </si>
  <si>
    <t>Excavations and Dredging</t>
  </si>
  <si>
    <t>230702</t>
  </si>
  <si>
    <t>Photocopiers</t>
  </si>
  <si>
    <t>270813</t>
  </si>
  <si>
    <t>National Sports Council</t>
  </si>
  <si>
    <t>Constituency Development Fund Transfers</t>
  </si>
  <si>
    <t>280403</t>
  </si>
  <si>
    <t>Emergency Medical Treatment</t>
  </si>
  <si>
    <t>331252</t>
  </si>
  <si>
    <t>TASAF FUND</t>
  </si>
  <si>
    <t>Roads</t>
  </si>
  <si>
    <t>411010</t>
  </si>
  <si>
    <t>Materials and Supplies for construction</t>
  </si>
  <si>
    <t>411107</t>
  </si>
  <si>
    <t>Schools</t>
  </si>
  <si>
    <t>Water Supplies and Sewerage Systems</t>
  </si>
  <si>
    <t>411112</t>
  </si>
  <si>
    <t>Materials and Supplies for Construction</t>
  </si>
  <si>
    <t>Drugs and equipment</t>
  </si>
  <si>
    <t>Other receivables</t>
  </si>
  <si>
    <t>690311</t>
  </si>
  <si>
    <t>Education Sector Cash Account</t>
  </si>
  <si>
    <t>690312</t>
  </si>
  <si>
    <t>Health Sector Cash Account</t>
  </si>
  <si>
    <t>130103</t>
  </si>
  <si>
    <t>SEDP</t>
  </si>
  <si>
    <t>130107</t>
  </si>
  <si>
    <t>NMSF</t>
  </si>
  <si>
    <t>130120</t>
  </si>
  <si>
    <t>Other Development Grants</t>
  </si>
  <si>
    <t>Tanzania Social Action Fund (TASAF);and</t>
  </si>
  <si>
    <t>Health Sector Basket Fund-HSBF</t>
  </si>
  <si>
    <t>Consolidated Trial Balance For the Period Ending 30th June 2016</t>
  </si>
  <si>
    <t xml:space="preserve"> BOTTLENECK</t>
  </si>
  <si>
    <t>Government Grants(Bottleneck Project)</t>
  </si>
  <si>
    <t>130115</t>
  </si>
  <si>
    <t>NWSSP - Recurrent</t>
  </si>
  <si>
    <t>NWSSP - Capital</t>
  </si>
  <si>
    <t>411002</t>
  </si>
  <si>
    <t xml:space="preserve"> Code</t>
  </si>
  <si>
    <t>Relief assistance to poor household</t>
  </si>
  <si>
    <t>Balance at 1 July 2015</t>
  </si>
  <si>
    <t>Name:  Hamisi I. Malinga  Title District Executive Director              Signature  ……………</t>
  </si>
  <si>
    <t>Name:  Nicodemus Tarmo   Title Council Chairman              Signature  ……………</t>
  </si>
  <si>
    <t>2015/2016</t>
  </si>
  <si>
    <t>The  budget  is  approved  on  a  cash  basis  by  functional  classification.  The approved budget covers the fiscal period from July 1, 2015 to June 30, 2016 and includes all activities within the Council.</t>
  </si>
  <si>
    <t>The  original  budget  was  approved  by  the meeting of the Council  on  30th March 2015  and  budget reallocation within sub votes  was approved by the Council  on28th January 2016.   The   original   budget   objectives   and   policies,   and   subsequent revisions  are  explained  more  fully  in  the  Operational  Review  and  Budget Outcomes reports issued in conjunction with the financial statements.</t>
  </si>
  <si>
    <t>2014/2015- Cash disbursed</t>
  </si>
  <si>
    <t>2015/2016- Cash disbursed</t>
  </si>
  <si>
    <t>Villages/Schools cash Accounts</t>
  </si>
  <si>
    <t>Women Loans</t>
  </si>
  <si>
    <t>Revaluation Surplus/(Deficit)</t>
  </si>
  <si>
    <t>School Supplies</t>
  </si>
  <si>
    <t>229912</t>
  </si>
  <si>
    <t xml:space="preserve">Land </t>
  </si>
  <si>
    <t>Motor vehicle cycles</t>
  </si>
  <si>
    <t>Accumulated Surplus &amp; Deficit</t>
  </si>
  <si>
    <t>Prior period adjustments</t>
  </si>
  <si>
    <t>These Financial Statement were authorized by the Full Council meeting for issue on 16th September 2016</t>
  </si>
  <si>
    <t>MINIMUM COMPUSORY RESERVES</t>
  </si>
  <si>
    <t>Variation TZS "000"</t>
  </si>
  <si>
    <t>Non release of ASDP funds</t>
  </si>
  <si>
    <t>Education sector</t>
  </si>
  <si>
    <t>Introduction of free education in secondary schools which was out of budget</t>
  </si>
  <si>
    <t>Water sector</t>
  </si>
  <si>
    <t>Release of funds by the central government for paying of contractors claims who cmpleted their works in the previous year</t>
  </si>
  <si>
    <t>Off setted accumulated Depreciation</t>
  </si>
  <si>
    <t>Medical Stores Department(MSD)</t>
  </si>
  <si>
    <t>CASHFLOW INFORMATION</t>
  </si>
  <si>
    <t>Cash flows from operating activities - DIRECT</t>
  </si>
  <si>
    <t>Dividends received/(paid)</t>
  </si>
  <si>
    <t>Taxes paid</t>
  </si>
  <si>
    <t>Net cash generated from operating activities (Direct)</t>
  </si>
  <si>
    <t>Exchequers/transfers/subsidies from/(to) other Government entities</t>
  </si>
  <si>
    <t xml:space="preserve">Finance income </t>
  </si>
  <si>
    <t>Social contributions</t>
  </si>
  <si>
    <t>Social benefits</t>
  </si>
  <si>
    <t>Grants/subsidies/other transfer payments to Non-Government entities</t>
  </si>
  <si>
    <t>Interest expenses</t>
  </si>
  <si>
    <t>STATEMENT OF CASH FLOWS</t>
  </si>
  <si>
    <t>Road network - (Construction of 2 bridges along Bonga-Endanachan - Riroda road)</t>
  </si>
  <si>
    <t>Road network - (Construction of 4 Box Culverts and raise embassment 1km  along Magugu-Mapea - Kisangaji Road)</t>
  </si>
  <si>
    <t xml:space="preserve"> Construction of School toilets at Gichameda, Nkaiti, Utwari and Qash Secondary Schools. 2 Construction of teahers house at Qash secondary School</t>
  </si>
  <si>
    <t xml:space="preserve">  Construction of teahers house at Qash secondary School</t>
  </si>
  <si>
    <t>Constructio of watre 2 tanks , 10 water domestic points and 5 valve chambers</t>
  </si>
  <si>
    <t xml:space="preserve"> Construction of School toilets at Magugu, Gallapo and Mbugwe secondary Schools</t>
  </si>
  <si>
    <t>Revaluation gain</t>
  </si>
  <si>
    <t xml:space="preserve">TZS </t>
  </si>
  <si>
    <t>Receipts</t>
  </si>
  <si>
    <t>Grants Received</t>
  </si>
  <si>
    <t>Payments</t>
  </si>
  <si>
    <t>Maintenance Expenses</t>
  </si>
  <si>
    <t>Cash generated from operations</t>
  </si>
  <si>
    <t>Net cash from operating activities</t>
  </si>
  <si>
    <t>Purchase of property, plant and equipment</t>
  </si>
  <si>
    <t>Investments with LGLB</t>
  </si>
  <si>
    <t>Acquisition of investments</t>
  </si>
  <si>
    <t>Development Grants Received</t>
  </si>
  <si>
    <t>Net cash used in financing activities</t>
  </si>
  <si>
    <t>Net increase in cash and cash equivalents</t>
  </si>
  <si>
    <t>Balance at 30 June 2016</t>
  </si>
  <si>
    <t>-</t>
  </si>
  <si>
    <t>FOR THE YEAR ENDED 30TH  JUNE 2016</t>
  </si>
  <si>
    <t>PRRESIDENT’S OFFICE - REGIONAL ADMINISTRATION AND LOCAL GOVERNMENT</t>
  </si>
  <si>
    <t>NB: (This figure of Other Own Revenue  of Tshs. 872.78m is analysed on page 2  of abstract of fianancial statement)</t>
  </si>
  <si>
    <t>Govt Grants-Capitation(Free Education)</t>
  </si>
  <si>
    <t>Revauation Gain</t>
  </si>
  <si>
    <t>Depreciation charges</t>
  </si>
  <si>
    <t>NB: (This figure of local taxes of Tshs. 574.212m is analysed on page 1  of abstract of financial statement)</t>
  </si>
  <si>
    <t>NB: (This figure of Fees,Fines,Penalties and Licences of Tshs. 484.452m is analysed on page 1  of abstract of financial statement)</t>
  </si>
  <si>
    <t>NB: (This figure of Recurrent Grants of Tshs. 29.84bn is analysed on page 2  of abstract of financial statement)</t>
  </si>
  <si>
    <t>NB: (This figure of Revenue from exchange transaction of Tshs. 13.82m is analysed on page 2  of abstract of financial statement)</t>
  </si>
  <si>
    <t>NB: (This figure of Wages,Salaries and Employement Benefits  of Tshs. 25.09bn is analysed on page 2-3  of abstract of financial statement)</t>
  </si>
  <si>
    <t>NB: (This figure of Supplies and Consumables Used  of Tshs. 5.39bn is analysed on page 3-4  of abstract of financial statement)</t>
  </si>
  <si>
    <t>NB: (This figure of Maintenance Expenses  of Tshs. 1.45bn is analysed on page 4-5  of abstract of financial statement)</t>
  </si>
  <si>
    <t>NB: (This figure of Cash and Cash Equivalent  of Tshs. 1.068bn is analysed on page 6  of abstract of financial statement)</t>
  </si>
  <si>
    <t>NB: (This figure of Receivables and Prepayment  of Tshs. 545.89m is analysed on page 36-39  of abstract of financial statement)</t>
  </si>
  <si>
    <t>NB: (This figure of Inventories  of Tshs. 140.45m is analysed on page 48-49  of abstract of financial statement)</t>
  </si>
  <si>
    <t>NB: (This figure of Other Financial Assets  of Tshs. 13.96m is analysed on page 6  of abstract of financial statement)</t>
  </si>
  <si>
    <t>NB: (This figure of Payables of Tshs. 223.13m is analysed on page 28-30 and page 45 of abstract of financial statement)</t>
  </si>
  <si>
    <t>NB: (This figure of  Employees Benefits of Tshs. 587.58m is analysed on page 6  of abstract of financial statement)</t>
  </si>
  <si>
    <t xml:space="preserve"> </t>
  </si>
  <si>
    <t>1. Sopa lodge - 200 School desks</t>
  </si>
  <si>
    <t>2. Fibre Board - 100 School desks</t>
  </si>
  <si>
    <t>3.Minjingu Phosphate - 120 School desks</t>
  </si>
  <si>
    <t>4.TANROADS - 20 School desks</t>
  </si>
  <si>
    <t>5.TCCIA - 20 School desks</t>
  </si>
  <si>
    <t>6.TANAPA - 250 - School desks.</t>
  </si>
  <si>
    <t>Included in the value of Office and Residential &amp; Equipments are the school desks donated by the following partners :-</t>
  </si>
  <si>
    <t>Accumulated Depr. -Land and Buildings</t>
  </si>
  <si>
    <t>Accmulated Depr. -Plant, machinery and equipments</t>
  </si>
  <si>
    <t>Accumulated Depr.  Motor vehicle &amp; cycles</t>
  </si>
  <si>
    <t>Off -setted accum. Depreciation</t>
  </si>
  <si>
    <t>NB: (This figure of Property, Plant and Machinery of Tshs. 34.15bn  is analysed on page 46-47  of abstract of financial statement)</t>
  </si>
  <si>
    <t>Net cash from depositors activities</t>
  </si>
  <si>
    <t>01 July 2015</t>
  </si>
  <si>
    <t xml:space="preserve">During the financial year 2015/2016 the Council  revalued its non- currents using fair value model. </t>
  </si>
  <si>
    <t>As a result of revaluation of assets,  the total cost of non-current assets as at 30th June 2016 was Tshs. 34,151,334,000.00 which reflect</t>
  </si>
  <si>
    <t>a revaluation gain of Tshs. 16,047,781,000.00 and a carrying value of Tshs. 32,023,098,000.00. The revaluation cost will be reflected in the financial statements of the year 2016/2017.</t>
  </si>
  <si>
    <t>REVALUATION OF PROPERTY, PLANT AND EQUIPMENTS</t>
  </si>
  <si>
    <t>NB:</t>
  </si>
  <si>
    <t xml:space="preserve">The notes on pages 22 to 52 form part of these financial statements.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</si>
</sst>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_);_(* \(#,##0.0\);_(* &quot;-&quot;?_);_(@_)"/>
    <numFmt numFmtId="167" formatCode="_(* #,##0.0000_);_(* \(#,##0.0000\);_(* &quot;-&quot;??_);_(@_)"/>
    <numFmt numFmtId="168" formatCode="0_);\(0\)"/>
    <numFmt numFmtId="169" formatCode="_(* #,##0.000_);_(* \(#,##0.000\);_(* &quot;-&quot;???_);_(@_)"/>
    <numFmt numFmtId="170" formatCode="_(* #,##0.00_);_(* \(#,##0.00\);_(* &quot;-&quot;_);_(@_)"/>
    <numFmt numFmtId="171" formatCode="_-* #,##0_-;\-* #,##0_-;_-* &quot;-&quot;??_-;_-@_-"/>
    <numFmt numFmtId="172" formatCode="_(* #,##0.00000_);_(* \(#,##0.00000\);_(* &quot;-&quot;??_);_(@_)"/>
    <numFmt numFmtId="173" formatCode="_-* #,##0.00\ _D_M_-;\-* #,##0.00\ _D_M_-;_-* &quot;-&quot;??\ _D_M_-;_-@_-"/>
    <numFmt numFmtId="174" formatCode="#,##0.00000"/>
    <numFmt numFmtId="175" formatCode="#,##0;[Red]\(#,##0\)"/>
    <numFmt numFmtId="176" formatCode="#,##0.0"/>
    <numFmt numFmtId="177" formatCode="_(* #,##0.0_);_(* \(#,##0.0\);_(* &quot;-&quot;??_);_(@_)"/>
    <numFmt numFmtId="178" formatCode="_(* #,##0.000_);_(* \(#,##0.000\);_(* &quot;-&quot;??_);_(@_)"/>
    <numFmt numFmtId="179" formatCode="#,##0.000"/>
    <numFmt numFmtId="180" formatCode="0.00000000"/>
    <numFmt numFmtId="181" formatCode="0.0000000"/>
    <numFmt numFmtId="182" formatCode="0.000000"/>
    <numFmt numFmtId="183" formatCode="0.00000"/>
    <numFmt numFmtId="184" formatCode="0.0000"/>
    <numFmt numFmtId="185" formatCode="0.000"/>
    <numFmt numFmtId="186" formatCode="0.0"/>
    <numFmt numFmtId="187" formatCode="_(* #,##0.0000_);_(* \(#,##0.0000\);_(* &quot;-&quot;????_);_(@_)"/>
    <numFmt numFmtId="188" formatCode="#,##0.0000"/>
    <numFmt numFmtId="189" formatCode="_(* #,##0.0000000000_);_(* \(#,##0.0000000000\);_(* &quot;-&quot;??????????_);_(@_)"/>
    <numFmt numFmtId="190" formatCode="&quot;Yes&quot;;&quot;Yes&quot;;&quot;No&quot;"/>
    <numFmt numFmtId="191" formatCode="&quot;True&quot;;&quot;True&quot;;&quot;False&quot;"/>
    <numFmt numFmtId="192" formatCode="&quot;On&quot;;&quot;On&quot;;&quot;Off&quot;"/>
    <numFmt numFmtId="193" formatCode="[$€-2]\ #,##0.00_);[Red]\([$€-2]\ #,##0.00\)"/>
    <numFmt numFmtId="194" formatCode="#,##0;\(#,##0\)"/>
  </numFmts>
  <fonts count="138">
    <font>
      <sz val="12"/>
      <name val="Times New Roman"/>
      <family val="0"/>
    </font>
    <font>
      <sz val="10"/>
      <name val="Arial"/>
      <family val="2"/>
    </font>
    <font>
      <u val="single"/>
      <sz val="12"/>
      <color indexed="12"/>
      <name val="Times New Roman"/>
      <family val="1"/>
    </font>
    <font>
      <u val="single"/>
      <sz val="12"/>
      <color indexed="36"/>
      <name val="Times New Roman"/>
      <family val="1"/>
    </font>
    <font>
      <sz val="10"/>
      <name val="Times New Roman"/>
      <family val="1"/>
    </font>
    <font>
      <sz val="11"/>
      <name val="Times New Roman"/>
      <family val="1"/>
    </font>
    <font>
      <b/>
      <sz val="12"/>
      <name val="Times New Roman"/>
      <family val="1"/>
    </font>
    <font>
      <b/>
      <sz val="11"/>
      <name val="Times New Roman"/>
      <family val="1"/>
    </font>
    <font>
      <u val="single"/>
      <sz val="11"/>
      <name val="Times New Roman"/>
      <family val="1"/>
    </font>
    <font>
      <i/>
      <sz val="11"/>
      <name val="Times New Roman"/>
      <family val="1"/>
    </font>
    <font>
      <b/>
      <u val="doubleAccounting"/>
      <sz val="11"/>
      <name val="Times New Roman"/>
      <family val="1"/>
    </font>
    <font>
      <b/>
      <u val="singleAccounting"/>
      <sz val="11"/>
      <name val="Times New Roman"/>
      <family val="1"/>
    </font>
    <font>
      <b/>
      <i/>
      <sz val="11"/>
      <name val="Times New Roman"/>
      <family val="1"/>
    </font>
    <font>
      <u val="singleAccounting"/>
      <sz val="11"/>
      <name val="Times New Roman"/>
      <family val="1"/>
    </font>
    <font>
      <b/>
      <u val="single"/>
      <sz val="11"/>
      <name val="Times New Roman"/>
      <family val="1"/>
    </font>
    <font>
      <b/>
      <i/>
      <u val="doubleAccounting"/>
      <sz val="11"/>
      <name val="Times New Roman"/>
      <family val="1"/>
    </font>
    <font>
      <i/>
      <u val="singleAccounting"/>
      <sz val="11"/>
      <name val="Times New Roman"/>
      <family val="1"/>
    </font>
    <font>
      <b/>
      <i/>
      <u val="single"/>
      <sz val="11"/>
      <name val="Times New Roman"/>
      <family val="1"/>
    </font>
    <font>
      <b/>
      <i/>
      <u val="singleAccounting"/>
      <sz val="11"/>
      <name val="Times New Roman"/>
      <family val="1"/>
    </font>
    <font>
      <i/>
      <u val="doubleAccounting"/>
      <sz val="11"/>
      <name val="Times New Roman"/>
      <family val="1"/>
    </font>
    <font>
      <b/>
      <sz val="14"/>
      <name val="Arial Black"/>
      <family val="2"/>
    </font>
    <font>
      <b/>
      <sz val="10"/>
      <name val="Arial Black"/>
      <family val="2"/>
    </font>
    <font>
      <b/>
      <sz val="10"/>
      <name val="Arial"/>
      <family val="2"/>
    </font>
    <font>
      <i/>
      <sz val="10"/>
      <name val="Arial"/>
      <family val="2"/>
    </font>
    <font>
      <sz val="9"/>
      <name val="Verdana"/>
      <family val="2"/>
    </font>
    <font>
      <u val="single"/>
      <sz val="10"/>
      <name val="Arial"/>
      <family val="2"/>
    </font>
    <font>
      <b/>
      <sz val="11"/>
      <name val="Arial Black"/>
      <family val="2"/>
    </font>
    <font>
      <b/>
      <u val="doubleAccounting"/>
      <sz val="11"/>
      <name val="Arial Black"/>
      <family val="2"/>
    </font>
    <font>
      <b/>
      <sz val="16"/>
      <name val="Arial"/>
      <family val="2"/>
    </font>
    <font>
      <b/>
      <sz val="14"/>
      <name val="Arial"/>
      <family val="2"/>
    </font>
    <font>
      <b/>
      <sz val="9"/>
      <name val="Arial"/>
      <family val="2"/>
    </font>
    <font>
      <b/>
      <u val="singleAccounting"/>
      <sz val="10"/>
      <name val="Arial"/>
      <family val="2"/>
    </font>
    <font>
      <b/>
      <i/>
      <sz val="10"/>
      <name val="Arial"/>
      <family val="2"/>
    </font>
    <font>
      <b/>
      <sz val="11"/>
      <name val="Arial"/>
      <family val="2"/>
    </font>
    <font>
      <b/>
      <u val="doubleAccounting"/>
      <sz val="11"/>
      <name val="Arial"/>
      <family val="2"/>
    </font>
    <font>
      <u val="singleAccounting"/>
      <sz val="10"/>
      <name val="Arial"/>
      <family val="2"/>
    </font>
    <font>
      <b/>
      <u val="doubleAccounting"/>
      <sz val="10"/>
      <name val="Arial Black"/>
      <family val="2"/>
    </font>
    <font>
      <b/>
      <u val="doubleAccounting"/>
      <sz val="10"/>
      <name val="Arial"/>
      <family val="2"/>
    </font>
    <font>
      <sz val="10"/>
      <name val="Arial Black"/>
      <family val="2"/>
    </font>
    <font>
      <b/>
      <u val="single"/>
      <sz val="10"/>
      <name val="Arial"/>
      <family val="2"/>
    </font>
    <font>
      <b/>
      <sz val="12"/>
      <name val="Arial Black"/>
      <family val="2"/>
    </font>
    <font>
      <u val="doubleAccounting"/>
      <sz val="10"/>
      <name val="Arial"/>
      <family val="2"/>
    </font>
    <font>
      <b/>
      <sz val="10"/>
      <name val="Times New Roman"/>
      <family val="1"/>
    </font>
    <font>
      <sz val="9"/>
      <name val="Times New Roman"/>
      <family val="1"/>
    </font>
    <font>
      <b/>
      <i/>
      <u val="doubleAccounting"/>
      <sz val="10"/>
      <name val="Arial"/>
      <family val="2"/>
    </font>
    <font>
      <i/>
      <u val="singleAccounting"/>
      <sz val="10"/>
      <name val="Arial"/>
      <family val="2"/>
    </font>
    <font>
      <b/>
      <i/>
      <u val="single"/>
      <sz val="10"/>
      <name val="Arial"/>
      <family val="2"/>
    </font>
    <font>
      <i/>
      <u val="doubleAccounting"/>
      <sz val="10"/>
      <name val="Arial"/>
      <family val="2"/>
    </font>
    <font>
      <b/>
      <sz val="12"/>
      <color indexed="8"/>
      <name val="Times New Roman"/>
      <family val="1"/>
    </font>
    <font>
      <sz val="12"/>
      <color indexed="8"/>
      <name val="Times New Roman"/>
      <family val="1"/>
    </font>
    <font>
      <b/>
      <u val="single"/>
      <sz val="12"/>
      <color indexed="8"/>
      <name val="Times New Roman"/>
      <family val="1"/>
    </font>
    <font>
      <b/>
      <sz val="12"/>
      <name val="Arial Narrow"/>
      <family val="2"/>
    </font>
    <font>
      <sz val="12"/>
      <name val="Arial Narrow"/>
      <family val="2"/>
    </font>
    <font>
      <b/>
      <u val="single"/>
      <sz val="12"/>
      <name val="Arial Narrow"/>
      <family val="2"/>
    </font>
    <font>
      <sz val="12"/>
      <color indexed="10"/>
      <name val="Arial Narrow"/>
      <family val="2"/>
    </font>
    <font>
      <b/>
      <sz val="12"/>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b/>
      <i/>
      <sz val="12"/>
      <color indexed="8"/>
      <name val="Arial Narrow"/>
      <family val="2"/>
    </font>
    <font>
      <i/>
      <sz val="12"/>
      <color indexed="8"/>
      <name val="Arial Narrow"/>
      <family val="2"/>
    </font>
    <font>
      <sz val="12"/>
      <color indexed="63"/>
      <name val="Arial Narrow"/>
      <family val="2"/>
    </font>
    <font>
      <b/>
      <u val="single"/>
      <sz val="12"/>
      <color indexed="8"/>
      <name val="Arial Narrow"/>
      <family val="2"/>
    </font>
    <font>
      <u val="single"/>
      <sz val="12"/>
      <color indexed="8"/>
      <name val="Arial Narrow"/>
      <family val="2"/>
    </font>
    <font>
      <sz val="14"/>
      <name val="Arial Narrow"/>
      <family val="2"/>
    </font>
    <font>
      <sz val="13"/>
      <name val="Arial Narrow"/>
      <family val="2"/>
    </font>
    <font>
      <b/>
      <i/>
      <sz val="12"/>
      <name val="Arial Narrow"/>
      <family val="2"/>
    </font>
    <font>
      <sz val="11"/>
      <name val="Arial Narrow"/>
      <family val="2"/>
    </font>
    <font>
      <b/>
      <sz val="12"/>
      <color indexed="10"/>
      <name val="Arial Narrow"/>
      <family val="2"/>
    </font>
    <font>
      <b/>
      <u val="single"/>
      <sz val="12"/>
      <color indexed="10"/>
      <name val="Arial Narrow"/>
      <family val="2"/>
    </font>
    <font>
      <b/>
      <sz val="9"/>
      <name val="Arial Narrow"/>
      <family val="2"/>
    </font>
    <font>
      <b/>
      <sz val="11"/>
      <name val="Arial Narrow"/>
      <family val="2"/>
    </font>
    <font>
      <sz val="11"/>
      <color indexed="10"/>
      <name val="Arial Narrow"/>
      <family val="2"/>
    </font>
    <font>
      <sz val="9"/>
      <name val="Tahoma"/>
      <family val="2"/>
    </font>
    <font>
      <b/>
      <sz val="9"/>
      <name val="Tahoma"/>
      <family val="2"/>
    </font>
    <font>
      <b/>
      <sz val="10"/>
      <color indexed="8"/>
      <name val="Arial Narrow"/>
      <family val="2"/>
    </font>
    <font>
      <sz val="10"/>
      <color indexed="8"/>
      <name val="Arial Narrow"/>
      <family val="2"/>
    </font>
    <font>
      <sz val="11"/>
      <color indexed="8"/>
      <name val="Arial Narrow"/>
      <family val="2"/>
    </font>
    <font>
      <sz val="10"/>
      <name val="Arial Narrow"/>
      <family val="2"/>
    </font>
    <font>
      <sz val="10"/>
      <color indexed="8"/>
      <name val="Arial"/>
      <family val="2"/>
    </font>
    <font>
      <sz val="11"/>
      <color indexed="8"/>
      <name val="Trebuchet MS"/>
      <family val="2"/>
    </font>
    <font>
      <b/>
      <sz val="14"/>
      <color indexed="8"/>
      <name val="Trebuchet MS"/>
      <family val="2"/>
    </font>
    <font>
      <b/>
      <sz val="11"/>
      <color indexed="8"/>
      <name val="Trebuchet MS"/>
      <family val="2"/>
    </font>
    <font>
      <sz val="12"/>
      <color indexed="8"/>
      <name val="Trebuchet MS"/>
      <family val="2"/>
    </font>
    <font>
      <sz val="10"/>
      <color indexed="8"/>
      <name val="Trebuchet MS"/>
      <family val="2"/>
    </font>
    <font>
      <b/>
      <sz val="11"/>
      <color indexed="8"/>
      <name val="Arial Narrow"/>
      <family val="2"/>
    </font>
    <font>
      <b/>
      <sz val="12"/>
      <color indexed="8"/>
      <name val="Trebuchet MS"/>
      <family val="2"/>
    </font>
    <font>
      <b/>
      <sz val="22"/>
      <color indexed="8"/>
      <name val="Trebuchet MS"/>
      <family val="2"/>
    </font>
    <font>
      <sz val="7"/>
      <color indexed="8"/>
      <name val="Arial Narrow"/>
      <family val="2"/>
    </font>
    <font>
      <sz val="12"/>
      <name val="Trebuchet MS"/>
      <family val="2"/>
    </font>
    <font>
      <b/>
      <sz val="12"/>
      <name val="Trebuchet MS"/>
      <family val="2"/>
    </font>
    <font>
      <sz val="14"/>
      <color indexed="8"/>
      <name val="Arial Narrow"/>
      <family val="2"/>
    </font>
    <font>
      <b/>
      <sz val="14"/>
      <name val="Arial Narrow"/>
      <family val="2"/>
    </font>
    <font>
      <b/>
      <sz val="10"/>
      <name val="Arial Narrow"/>
      <family val="2"/>
    </font>
    <font>
      <sz val="14"/>
      <name val="Times New Roman"/>
      <family val="1"/>
    </font>
    <font>
      <sz val="12"/>
      <color indexed="10"/>
      <name val="Trebuchet MS"/>
      <family val="2"/>
    </font>
    <font>
      <b/>
      <sz val="11"/>
      <color indexed="8"/>
      <name val="Arial"/>
      <family val="2"/>
    </font>
    <font>
      <sz val="11"/>
      <color indexed="8"/>
      <name val="Arial"/>
      <family val="2"/>
    </font>
    <font>
      <b/>
      <u val="single"/>
      <sz val="11"/>
      <color indexed="8"/>
      <name val="Arial"/>
      <family val="2"/>
    </font>
    <font>
      <i/>
      <sz val="11"/>
      <color indexed="8"/>
      <name val="Arial Narrow"/>
      <family val="2"/>
    </font>
    <font>
      <i/>
      <sz val="10"/>
      <color indexed="8"/>
      <name val="Arial Narrow"/>
      <family val="2"/>
    </font>
    <font>
      <sz val="12"/>
      <color theme="1"/>
      <name val="Arial Narrow"/>
      <family val="2"/>
    </font>
    <font>
      <sz val="11"/>
      <color theme="1"/>
      <name val="Trebuchet MS"/>
      <family val="2"/>
    </font>
    <font>
      <b/>
      <sz val="11"/>
      <color theme="1"/>
      <name val="Trebuchet MS"/>
      <family val="2"/>
    </font>
    <font>
      <sz val="12"/>
      <color rgb="FFFF0000"/>
      <name val="Trebuchet MS"/>
      <family val="2"/>
    </font>
    <font>
      <sz val="12"/>
      <color theme="1"/>
      <name val="Trebuchet MS"/>
      <family val="2"/>
    </font>
    <font>
      <b/>
      <sz val="12"/>
      <color theme="1"/>
      <name val="Trebuchet MS"/>
      <family val="2"/>
    </font>
    <font>
      <b/>
      <sz val="11"/>
      <color theme="1"/>
      <name val="Arial"/>
      <family val="2"/>
    </font>
    <font>
      <sz val="11"/>
      <color theme="1"/>
      <name val="Arial"/>
      <family val="2"/>
    </font>
    <font>
      <b/>
      <u val="single"/>
      <sz val="11"/>
      <color theme="1"/>
      <name val="Arial"/>
      <family val="2"/>
    </font>
    <font>
      <sz val="12"/>
      <color rgb="FFFF0000"/>
      <name val="Arial Narrow"/>
      <family val="2"/>
    </font>
    <font>
      <b/>
      <sz val="12"/>
      <color theme="1"/>
      <name val="Arial Narrow"/>
      <family val="2"/>
    </font>
    <font>
      <b/>
      <u val="single"/>
      <sz val="12"/>
      <color theme="1"/>
      <name val="Arial Narrow"/>
      <family val="2"/>
    </font>
    <font>
      <sz val="11"/>
      <color theme="1"/>
      <name val="Arial Narrow"/>
      <family val="2"/>
    </font>
    <font>
      <sz val="10"/>
      <color theme="1"/>
      <name val="Trebuchet MS"/>
      <family val="2"/>
    </font>
    <font>
      <b/>
      <sz val="11"/>
      <color theme="1"/>
      <name val="Arial Narrow"/>
      <family val="2"/>
    </font>
    <font>
      <sz val="12"/>
      <color theme="1"/>
      <name val="Times New Roman"/>
      <family val="1"/>
    </font>
    <font>
      <u val="single"/>
      <sz val="12"/>
      <color theme="1"/>
      <name val="Arial Narrow"/>
      <family val="2"/>
    </font>
    <font>
      <i/>
      <sz val="11"/>
      <color theme="1"/>
      <name val="Arial Narrow"/>
      <family val="2"/>
    </font>
    <font>
      <i/>
      <sz val="12"/>
      <color theme="1"/>
      <name val="Arial Narrow"/>
      <family val="2"/>
    </font>
    <font>
      <i/>
      <sz val="10"/>
      <color theme="1"/>
      <name val="Arial Narrow"/>
      <family val="2"/>
    </font>
    <font>
      <sz val="14"/>
      <color theme="1"/>
      <name val="Arial Narrow"/>
      <family val="2"/>
    </font>
    <font>
      <b/>
      <sz val="8"/>
      <name val="Times New Roman"/>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5"/>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style="medium"/>
      <right>
        <color indexed="63"/>
      </right>
      <top>
        <color indexed="63"/>
      </top>
      <bottom style="double"/>
    </border>
    <border>
      <left>
        <color indexed="63"/>
      </left>
      <right>
        <color indexed="63"/>
      </right>
      <top style="double"/>
      <bottom>
        <color indexed="63"/>
      </bottom>
    </border>
    <border>
      <left style="medium"/>
      <right style="medium"/>
      <top style="double"/>
      <bottom>
        <color indexed="63"/>
      </bottom>
    </border>
    <border>
      <left>
        <color indexed="63"/>
      </left>
      <right>
        <color indexed="63"/>
      </right>
      <top>
        <color indexed="63"/>
      </top>
      <bottom style="double"/>
    </border>
    <border>
      <left style="medium"/>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style="medium"/>
      <top>
        <color indexed="63"/>
      </top>
      <bottom style="mediu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style="medium"/>
      <right style="medium"/>
      <top style="medium"/>
      <bottom style="thin"/>
    </border>
    <border>
      <left>
        <color indexed="63"/>
      </left>
      <right style="medium"/>
      <top>
        <color indexed="63"/>
      </top>
      <bottom style="thin"/>
    </border>
    <border>
      <left style="medium"/>
      <right style="thin"/>
      <top>
        <color indexed="63"/>
      </top>
      <bottom style="thin"/>
    </border>
    <border>
      <left style="medium"/>
      <right style="medium"/>
      <top style="thin"/>
      <bottom style="medium"/>
    </border>
    <border>
      <left>
        <color indexed="63"/>
      </left>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medium"/>
      <bottom style="mediu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medium"/>
      <top style="thin"/>
      <bottom style="thin"/>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medium"/>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4"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7" borderId="1" applyNumberFormat="0" applyAlignment="0" applyProtection="0"/>
    <xf numFmtId="0" fontId="67" fillId="0" borderId="6" applyNumberFormat="0" applyFill="0" applyAlignment="0" applyProtection="0"/>
    <xf numFmtId="0" fontId="68" fillId="22" borderId="0" applyNumberFormat="0" applyBorder="0" applyAlignment="0" applyProtection="0"/>
    <xf numFmtId="0" fontId="94" fillId="0" borderId="0">
      <alignment vertical="top"/>
      <protection/>
    </xf>
    <xf numFmtId="0" fontId="1" fillId="0" borderId="0">
      <alignment/>
      <protection/>
    </xf>
    <xf numFmtId="0" fontId="56" fillId="0" borderId="0">
      <alignment/>
      <protection/>
    </xf>
    <xf numFmtId="0" fontId="1" fillId="0" borderId="0">
      <alignment/>
      <protection/>
    </xf>
    <xf numFmtId="0" fontId="1" fillId="0" borderId="0">
      <alignment/>
      <protection/>
    </xf>
    <xf numFmtId="0" fontId="56" fillId="23" borderId="7" applyNumberFormat="0" applyFont="0" applyAlignment="0" applyProtection="0"/>
    <xf numFmtId="0" fontId="69" fillId="20"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054">
    <xf numFmtId="0" fontId="0" fillId="0" borderId="0" xfId="0" applyAlignment="1">
      <alignment/>
    </xf>
    <xf numFmtId="0" fontId="0" fillId="0" borderId="0" xfId="0" applyFont="1" applyAlignment="1">
      <alignment/>
    </xf>
    <xf numFmtId="0" fontId="6" fillId="0" borderId="0" xfId="0" applyFont="1" applyAlignment="1">
      <alignment/>
    </xf>
    <xf numFmtId="0" fontId="0" fillId="0" borderId="0" xfId="0" applyFont="1" applyBorder="1" applyAlignment="1">
      <alignment/>
    </xf>
    <xf numFmtId="165" fontId="5" fillId="0" borderId="10" xfId="42" applyNumberFormat="1" applyFont="1" applyBorder="1" applyAlignment="1">
      <alignment/>
    </xf>
    <xf numFmtId="165" fontId="5" fillId="0" borderId="0" xfId="42" applyNumberFormat="1" applyFont="1" applyAlignment="1">
      <alignment horizontal="right"/>
    </xf>
    <xf numFmtId="165" fontId="5" fillId="0" borderId="0" xfId="42" applyNumberFormat="1" applyFont="1" applyAlignment="1">
      <alignment/>
    </xf>
    <xf numFmtId="43" fontId="5" fillId="0" borderId="0" xfId="42" applyFont="1" applyAlignment="1">
      <alignment/>
    </xf>
    <xf numFmtId="0" fontId="7" fillId="0" borderId="0" xfId="65" applyFont="1">
      <alignment/>
      <protection/>
    </xf>
    <xf numFmtId="0" fontId="5" fillId="0" borderId="0" xfId="65" applyFont="1">
      <alignment/>
      <protection/>
    </xf>
    <xf numFmtId="0" fontId="5" fillId="0" borderId="0" xfId="65" applyFont="1" applyAlignment="1">
      <alignment horizontal="right"/>
      <protection/>
    </xf>
    <xf numFmtId="0" fontId="5" fillId="24" borderId="0" xfId="65" applyFont="1" applyFill="1">
      <alignment/>
      <protection/>
    </xf>
    <xf numFmtId="43" fontId="5" fillId="24" borderId="0" xfId="42" applyFont="1" applyFill="1" applyAlignment="1">
      <alignment/>
    </xf>
    <xf numFmtId="0" fontId="7" fillId="0" borderId="0" xfId="65" applyFont="1" quotePrefix="1">
      <alignment/>
      <protection/>
    </xf>
    <xf numFmtId="0" fontId="5" fillId="24" borderId="0" xfId="65" applyFont="1" applyFill="1" applyBorder="1">
      <alignment/>
      <protection/>
    </xf>
    <xf numFmtId="0" fontId="5" fillId="24" borderId="0" xfId="65" applyFont="1" applyFill="1" applyAlignment="1">
      <alignment horizontal="right"/>
      <protection/>
    </xf>
    <xf numFmtId="0" fontId="5" fillId="24" borderId="0" xfId="65" applyFont="1" applyFill="1" applyAlignment="1">
      <alignment horizontal="center"/>
      <protection/>
    </xf>
    <xf numFmtId="0" fontId="5" fillId="24" borderId="0" xfId="65" applyFont="1" applyFill="1" applyBorder="1" applyAlignment="1">
      <alignment horizontal="center"/>
      <protection/>
    </xf>
    <xf numFmtId="0" fontId="7" fillId="24" borderId="0" xfId="65" applyFont="1" applyFill="1">
      <alignment/>
      <protection/>
    </xf>
    <xf numFmtId="0" fontId="7" fillId="24" borderId="0" xfId="65" applyFont="1" applyFill="1" applyAlignment="1">
      <alignment horizontal="right"/>
      <protection/>
    </xf>
    <xf numFmtId="0" fontId="5" fillId="0" borderId="0" xfId="65" applyFont="1" applyAlignment="1">
      <alignment horizontal="center"/>
      <protection/>
    </xf>
    <xf numFmtId="165" fontId="0" fillId="0" borderId="0" xfId="42" applyNumberFormat="1" applyFont="1" applyAlignment="1">
      <alignment/>
    </xf>
    <xf numFmtId="0" fontId="7" fillId="0" borderId="11" xfId="65" applyFont="1" applyBorder="1">
      <alignment/>
      <protection/>
    </xf>
    <xf numFmtId="0" fontId="7" fillId="0" borderId="10" xfId="65" applyFont="1" applyBorder="1">
      <alignment/>
      <protection/>
    </xf>
    <xf numFmtId="0" fontId="7" fillId="24" borderId="10" xfId="65" applyFont="1" applyFill="1" applyBorder="1">
      <alignment/>
      <protection/>
    </xf>
    <xf numFmtId="3" fontId="10" fillId="24" borderId="10" xfId="65" applyNumberFormat="1" applyFont="1" applyFill="1" applyBorder="1">
      <alignment/>
      <protection/>
    </xf>
    <xf numFmtId="165" fontId="10" fillId="0" borderId="0" xfId="42" applyNumberFormat="1" applyFont="1" applyAlignment="1">
      <alignment/>
    </xf>
    <xf numFmtId="165" fontId="10" fillId="0" borderId="0" xfId="42" applyNumberFormat="1" applyFont="1" applyAlignment="1">
      <alignment horizontal="right"/>
    </xf>
    <xf numFmtId="0" fontId="7" fillId="0" borderId="12" xfId="65" applyFont="1" applyBorder="1">
      <alignment/>
      <protection/>
    </xf>
    <xf numFmtId="0" fontId="7" fillId="0" borderId="13" xfId="65" applyFont="1" applyBorder="1">
      <alignment/>
      <protection/>
    </xf>
    <xf numFmtId="0" fontId="5" fillId="0" borderId="12" xfId="65" applyFont="1" applyBorder="1">
      <alignment/>
      <protection/>
    </xf>
    <xf numFmtId="0" fontId="5" fillId="0" borderId="0" xfId="65" applyFont="1" applyBorder="1">
      <alignment/>
      <protection/>
    </xf>
    <xf numFmtId="0" fontId="5" fillId="0" borderId="10" xfId="65" applyFont="1" applyBorder="1">
      <alignment/>
      <protection/>
    </xf>
    <xf numFmtId="0" fontId="7" fillId="0" borderId="14" xfId="65" applyFont="1" applyBorder="1">
      <alignment/>
      <protection/>
    </xf>
    <xf numFmtId="0" fontId="7" fillId="0" borderId="0" xfId="65" applyFont="1" applyBorder="1">
      <alignment/>
      <protection/>
    </xf>
    <xf numFmtId="0" fontId="7" fillId="0" borderId="15" xfId="65" applyFont="1" applyBorder="1">
      <alignment/>
      <protection/>
    </xf>
    <xf numFmtId="0" fontId="5" fillId="0" borderId="11" xfId="65" applyFont="1" applyBorder="1">
      <alignment/>
      <protection/>
    </xf>
    <xf numFmtId="0" fontId="7" fillId="0" borderId="10" xfId="65" applyFont="1" applyBorder="1" applyAlignment="1">
      <alignment horizontal="right"/>
      <protection/>
    </xf>
    <xf numFmtId="0" fontId="5" fillId="24" borderId="10" xfId="65" applyFont="1" applyFill="1" applyBorder="1">
      <alignment/>
      <protection/>
    </xf>
    <xf numFmtId="0" fontId="5" fillId="0" borderId="11" xfId="65" applyFont="1" applyBorder="1" quotePrefix="1">
      <alignment/>
      <protection/>
    </xf>
    <xf numFmtId="3" fontId="5" fillId="25" borderId="10" xfId="65" applyNumberFormat="1" applyFont="1" applyFill="1" applyBorder="1" applyAlignment="1">
      <alignment horizontal="right"/>
      <protection/>
    </xf>
    <xf numFmtId="3" fontId="5" fillId="25" borderId="10" xfId="65" applyNumberFormat="1" applyFont="1" applyFill="1" applyBorder="1">
      <alignment/>
      <protection/>
    </xf>
    <xf numFmtId="3" fontId="5" fillId="0" borderId="0" xfId="65" applyNumberFormat="1" applyFont="1">
      <alignment/>
      <protection/>
    </xf>
    <xf numFmtId="165" fontId="5" fillId="24" borderId="10" xfId="65" applyNumberFormat="1" applyFont="1" applyFill="1" applyBorder="1" applyAlignment="1">
      <alignment horizontal="right"/>
      <protection/>
    </xf>
    <xf numFmtId="165" fontId="5" fillId="24" borderId="10" xfId="65" applyNumberFormat="1" applyFont="1" applyFill="1" applyBorder="1">
      <alignment/>
      <protection/>
    </xf>
    <xf numFmtId="3" fontId="5" fillId="24" borderId="10" xfId="65" applyNumberFormat="1" applyFont="1" applyFill="1" applyBorder="1">
      <alignment/>
      <protection/>
    </xf>
    <xf numFmtId="3" fontId="5" fillId="24" borderId="10" xfId="65" applyNumberFormat="1" applyFont="1" applyFill="1" applyBorder="1" applyAlignment="1">
      <alignment horizontal="right"/>
      <protection/>
    </xf>
    <xf numFmtId="165" fontId="5" fillId="24" borderId="10" xfId="42" applyNumberFormat="1" applyFont="1" applyFill="1" applyBorder="1" applyAlignment="1">
      <alignment/>
    </xf>
    <xf numFmtId="43" fontId="5" fillId="24" borderId="10" xfId="42" applyFont="1" applyFill="1" applyBorder="1" applyAlignment="1">
      <alignment/>
    </xf>
    <xf numFmtId="0" fontId="5" fillId="0" borderId="12" xfId="65" applyFont="1" applyFill="1" applyBorder="1">
      <alignment/>
      <protection/>
    </xf>
    <xf numFmtId="3" fontId="5" fillId="24" borderId="10" xfId="42" applyNumberFormat="1" applyFont="1" applyFill="1" applyBorder="1" applyAlignment="1">
      <alignment horizontal="right"/>
    </xf>
    <xf numFmtId="3" fontId="5" fillId="0" borderId="10" xfId="65" applyNumberFormat="1" applyFont="1" applyBorder="1">
      <alignment/>
      <protection/>
    </xf>
    <xf numFmtId="41" fontId="5" fillId="24" borderId="10" xfId="65" applyNumberFormat="1" applyFont="1" applyFill="1" applyBorder="1">
      <alignment/>
      <protection/>
    </xf>
    <xf numFmtId="4" fontId="5" fillId="25" borderId="10" xfId="65" applyNumberFormat="1" applyFont="1" applyFill="1" applyBorder="1" applyAlignment="1">
      <alignment horizontal="right"/>
      <protection/>
    </xf>
    <xf numFmtId="3" fontId="5" fillId="24" borderId="10" xfId="42" applyNumberFormat="1" applyFont="1" applyFill="1" applyBorder="1" applyAlignment="1">
      <alignment/>
    </xf>
    <xf numFmtId="0" fontId="5" fillId="0" borderId="16" xfId="65" applyFont="1" applyFill="1" applyBorder="1" quotePrefix="1">
      <alignment/>
      <protection/>
    </xf>
    <xf numFmtId="3" fontId="5" fillId="25" borderId="12" xfId="65" applyNumberFormat="1" applyFont="1" applyFill="1" applyBorder="1">
      <alignment/>
      <protection/>
    </xf>
    <xf numFmtId="3" fontId="5" fillId="25" borderId="0" xfId="65" applyNumberFormat="1" applyFont="1" applyFill="1" applyAlignment="1">
      <alignment horizontal="right"/>
      <protection/>
    </xf>
    <xf numFmtId="3" fontId="8" fillId="24" borderId="10" xfId="65" applyNumberFormat="1" applyFont="1" applyFill="1" applyBorder="1">
      <alignment/>
      <protection/>
    </xf>
    <xf numFmtId="3" fontId="5" fillId="0" borderId="10" xfId="42" applyNumberFormat="1" applyFont="1" applyBorder="1" applyAlignment="1">
      <alignment/>
    </xf>
    <xf numFmtId="3" fontId="7" fillId="24" borderId="10" xfId="65" applyNumberFormat="1" applyFont="1" applyFill="1" applyBorder="1">
      <alignment/>
      <protection/>
    </xf>
    <xf numFmtId="0" fontId="5" fillId="0" borderId="17" xfId="65" applyFont="1" applyBorder="1">
      <alignment/>
      <protection/>
    </xf>
    <xf numFmtId="0" fontId="7" fillId="0" borderId="17" xfId="65" applyFont="1" applyBorder="1">
      <alignment/>
      <protection/>
    </xf>
    <xf numFmtId="0" fontId="5" fillId="0" borderId="18" xfId="65" applyFont="1" applyBorder="1">
      <alignment/>
      <protection/>
    </xf>
    <xf numFmtId="0" fontId="5" fillId="24" borderId="18" xfId="65" applyFont="1" applyFill="1" applyBorder="1">
      <alignment/>
      <protection/>
    </xf>
    <xf numFmtId="41" fontId="5" fillId="24" borderId="18" xfId="65" applyNumberFormat="1" applyFont="1" applyFill="1" applyBorder="1">
      <alignment/>
      <protection/>
    </xf>
    <xf numFmtId="0" fontId="7" fillId="0" borderId="0" xfId="65" applyFont="1" applyFill="1" applyBorder="1" applyAlignment="1">
      <alignment horizontal="left"/>
      <protection/>
    </xf>
    <xf numFmtId="41" fontId="5" fillId="0" borderId="0" xfId="65" applyNumberFormat="1" applyFont="1" applyFill="1" applyBorder="1" applyAlignment="1">
      <alignment/>
      <protection/>
    </xf>
    <xf numFmtId="41" fontId="7" fillId="0" borderId="0" xfId="65" applyNumberFormat="1" applyFont="1" applyFill="1" applyBorder="1" applyAlignment="1">
      <alignment horizontal="right"/>
      <protection/>
    </xf>
    <xf numFmtId="0" fontId="5" fillId="0" borderId="0" xfId="65" applyFont="1" applyFill="1" applyBorder="1" applyAlignment="1">
      <alignment horizontal="left"/>
      <protection/>
    </xf>
    <xf numFmtId="41" fontId="5" fillId="0" borderId="0" xfId="65" applyNumberFormat="1" applyFont="1" applyFill="1" applyBorder="1" applyAlignment="1">
      <alignment horizontal="right"/>
      <protection/>
    </xf>
    <xf numFmtId="0" fontId="9" fillId="0" borderId="0" xfId="65" applyFont="1" applyFill="1" applyBorder="1" applyAlignment="1">
      <alignment horizontal="left"/>
      <protection/>
    </xf>
    <xf numFmtId="41" fontId="9" fillId="0" borderId="0" xfId="65" applyNumberFormat="1" applyFont="1" applyFill="1" applyBorder="1" applyAlignment="1">
      <alignment horizontal="right"/>
      <protection/>
    </xf>
    <xf numFmtId="0" fontId="5" fillId="0" borderId="0" xfId="65" applyFont="1" applyAlignment="1">
      <alignment horizontal="left"/>
      <protection/>
    </xf>
    <xf numFmtId="0" fontId="9" fillId="0" borderId="0" xfId="65" applyFont="1" applyAlignment="1">
      <alignment horizontal="left"/>
      <protection/>
    </xf>
    <xf numFmtId="0" fontId="9" fillId="0" borderId="0" xfId="65" applyFont="1">
      <alignment/>
      <protection/>
    </xf>
    <xf numFmtId="165" fontId="9" fillId="0" borderId="0" xfId="42" applyNumberFormat="1" applyFont="1" applyAlignment="1">
      <alignment/>
    </xf>
    <xf numFmtId="0" fontId="7" fillId="0" borderId="0" xfId="65" applyFont="1" applyAlignment="1">
      <alignment horizontal="left"/>
      <protection/>
    </xf>
    <xf numFmtId="165" fontId="7" fillId="0" borderId="0" xfId="42" applyNumberFormat="1" applyFont="1" applyAlignment="1">
      <alignment/>
    </xf>
    <xf numFmtId="168" fontId="7" fillId="0" borderId="0" xfId="65" applyNumberFormat="1" applyFont="1" applyFill="1" applyBorder="1" applyAlignment="1">
      <alignment horizontal="right"/>
      <protection/>
    </xf>
    <xf numFmtId="0" fontId="11" fillId="0" borderId="0" xfId="65" applyNumberFormat="1" applyFont="1" applyFill="1" applyBorder="1" applyAlignment="1">
      <alignment horizontal="right"/>
      <protection/>
    </xf>
    <xf numFmtId="0" fontId="12" fillId="0" borderId="0" xfId="65" applyFont="1">
      <alignment/>
      <protection/>
    </xf>
    <xf numFmtId="165" fontId="12" fillId="0" borderId="0" xfId="42" applyNumberFormat="1" applyFont="1" applyAlignment="1">
      <alignment/>
    </xf>
    <xf numFmtId="0" fontId="5" fillId="0" borderId="0" xfId="65" applyFont="1" applyBorder="1" applyAlignment="1">
      <alignment horizontal="left"/>
      <protection/>
    </xf>
    <xf numFmtId="0" fontId="7" fillId="0" borderId="0" xfId="65" applyFont="1" applyAlignment="1">
      <alignment horizontal="right"/>
      <protection/>
    </xf>
    <xf numFmtId="165" fontId="13" fillId="0" borderId="0" xfId="42" applyNumberFormat="1" applyFont="1" applyAlignment="1">
      <alignment/>
    </xf>
    <xf numFmtId="165" fontId="5" fillId="0" borderId="17" xfId="42" applyNumberFormat="1" applyFont="1" applyBorder="1" applyAlignment="1">
      <alignment/>
    </xf>
    <xf numFmtId="165" fontId="5" fillId="0" borderId="16" xfId="42" applyNumberFormat="1" applyFont="1" applyBorder="1" applyAlignment="1">
      <alignment/>
    </xf>
    <xf numFmtId="165" fontId="5" fillId="0" borderId="19" xfId="42" applyNumberFormat="1" applyFont="1" applyBorder="1" applyAlignment="1">
      <alignment/>
    </xf>
    <xf numFmtId="165" fontId="11" fillId="0" borderId="0" xfId="42" applyNumberFormat="1" applyFont="1" applyAlignment="1">
      <alignment/>
    </xf>
    <xf numFmtId="165" fontId="5" fillId="0" borderId="0" xfId="65" applyNumberFormat="1" applyFont="1">
      <alignment/>
      <protection/>
    </xf>
    <xf numFmtId="0" fontId="14" fillId="0" borderId="0" xfId="65" applyFont="1" applyAlignment="1">
      <alignment horizontal="right"/>
      <protection/>
    </xf>
    <xf numFmtId="15" fontId="7" fillId="0" borderId="0" xfId="65" applyNumberFormat="1" applyFont="1" applyAlignment="1">
      <alignment horizontal="left"/>
      <protection/>
    </xf>
    <xf numFmtId="0" fontId="7" fillId="0" borderId="20" xfId="65" applyFont="1" applyBorder="1">
      <alignment/>
      <protection/>
    </xf>
    <xf numFmtId="0" fontId="5" fillId="0" borderId="13" xfId="65" applyFont="1" applyBorder="1">
      <alignment/>
      <protection/>
    </xf>
    <xf numFmtId="0" fontId="7" fillId="0" borderId="21" xfId="65" applyFont="1" applyBorder="1" applyAlignment="1">
      <alignment horizontal="right"/>
      <protection/>
    </xf>
    <xf numFmtId="0" fontId="7" fillId="0" borderId="22" xfId="65" applyFont="1" applyBorder="1">
      <alignment/>
      <protection/>
    </xf>
    <xf numFmtId="0" fontId="7" fillId="0" borderId="23" xfId="65" applyFont="1" applyBorder="1" applyAlignment="1">
      <alignment horizontal="right"/>
      <protection/>
    </xf>
    <xf numFmtId="0" fontId="7" fillId="0" borderId="24" xfId="65" applyFont="1" applyBorder="1">
      <alignment/>
      <protection/>
    </xf>
    <xf numFmtId="0" fontId="5" fillId="0" borderId="25" xfId="65" applyFont="1" applyBorder="1">
      <alignment/>
      <protection/>
    </xf>
    <xf numFmtId="0" fontId="7" fillId="0" borderId="26" xfId="65" applyFont="1" applyBorder="1" applyAlignment="1">
      <alignment horizontal="right"/>
      <protection/>
    </xf>
    <xf numFmtId="0" fontId="14" fillId="0" borderId="23" xfId="65" applyFont="1" applyBorder="1" applyAlignment="1">
      <alignment horizontal="right"/>
      <protection/>
    </xf>
    <xf numFmtId="0" fontId="5" fillId="0" borderId="22" xfId="65" applyFont="1" applyBorder="1">
      <alignment/>
      <protection/>
    </xf>
    <xf numFmtId="0" fontId="5" fillId="0" borderId="23" xfId="65" applyFont="1" applyBorder="1">
      <alignment/>
      <protection/>
    </xf>
    <xf numFmtId="0" fontId="14" fillId="0" borderId="22" xfId="65" applyFont="1" applyBorder="1">
      <alignment/>
      <protection/>
    </xf>
    <xf numFmtId="165" fontId="5" fillId="0" borderId="23" xfId="42" applyNumberFormat="1" applyFont="1" applyBorder="1" applyAlignment="1">
      <alignment/>
    </xf>
    <xf numFmtId="0" fontId="7" fillId="0" borderId="27" xfId="65" applyFont="1" applyBorder="1">
      <alignment/>
      <protection/>
    </xf>
    <xf numFmtId="165" fontId="5" fillId="0" borderId="28" xfId="42" applyNumberFormat="1" applyFont="1" applyBorder="1" applyAlignment="1">
      <alignment/>
    </xf>
    <xf numFmtId="165" fontId="5" fillId="0" borderId="26" xfId="42" applyNumberFormat="1" applyFont="1" applyBorder="1" applyAlignment="1">
      <alignment/>
    </xf>
    <xf numFmtId="0" fontId="5" fillId="0" borderId="29" xfId="65" applyFont="1" applyBorder="1">
      <alignment/>
      <protection/>
    </xf>
    <xf numFmtId="165" fontId="7" fillId="0" borderId="23" xfId="42" applyNumberFormat="1" applyFont="1" applyBorder="1" applyAlignment="1">
      <alignment/>
    </xf>
    <xf numFmtId="0" fontId="7" fillId="0" borderId="30" xfId="65" applyFont="1" applyBorder="1">
      <alignment/>
      <protection/>
    </xf>
    <xf numFmtId="0" fontId="5" fillId="0" borderId="31" xfId="65" applyFont="1" applyBorder="1">
      <alignment/>
      <protection/>
    </xf>
    <xf numFmtId="165" fontId="5" fillId="0" borderId="32" xfId="42" applyNumberFormat="1" applyFont="1" applyBorder="1" applyAlignment="1">
      <alignment/>
    </xf>
    <xf numFmtId="0" fontId="5" fillId="0" borderId="30" xfId="65" applyFont="1" applyBorder="1">
      <alignment/>
      <protection/>
    </xf>
    <xf numFmtId="0" fontId="5" fillId="0" borderId="33" xfId="65" applyFont="1" applyBorder="1">
      <alignment/>
      <protection/>
    </xf>
    <xf numFmtId="165" fontId="5" fillId="0" borderId="34" xfId="42" applyNumberFormat="1" applyFont="1" applyBorder="1" applyAlignment="1">
      <alignment/>
    </xf>
    <xf numFmtId="0" fontId="7" fillId="0" borderId="0" xfId="65" applyFont="1" applyFill="1" applyBorder="1">
      <alignment/>
      <protection/>
    </xf>
    <xf numFmtId="0" fontId="7" fillId="0" borderId="0" xfId="65" applyFont="1" applyAlignment="1">
      <alignment horizontal="center"/>
      <protection/>
    </xf>
    <xf numFmtId="165" fontId="7" fillId="0" borderId="0" xfId="65" applyNumberFormat="1" applyFont="1" applyBorder="1">
      <alignment/>
      <protection/>
    </xf>
    <xf numFmtId="0" fontId="5" fillId="0" borderId="0" xfId="65" applyFont="1" applyAlignment="1">
      <alignment horizontal="left" indent="2"/>
      <protection/>
    </xf>
    <xf numFmtId="165" fontId="5" fillId="0" borderId="0" xfId="65" applyNumberFormat="1" applyFont="1" applyAlignment="1">
      <alignment horizontal="right"/>
      <protection/>
    </xf>
    <xf numFmtId="0" fontId="5" fillId="0" borderId="0" xfId="65" applyFont="1" applyAlignment="1">
      <alignment/>
      <protection/>
    </xf>
    <xf numFmtId="165" fontId="13" fillId="0" borderId="0" xfId="42" applyNumberFormat="1" applyFont="1" applyAlignment="1">
      <alignment horizontal="right"/>
    </xf>
    <xf numFmtId="0" fontId="5" fillId="0" borderId="0" xfId="65" applyNumberFormat="1" applyFont="1">
      <alignment/>
      <protection/>
    </xf>
    <xf numFmtId="0" fontId="5" fillId="24" borderId="0" xfId="65" applyNumberFormat="1" applyFont="1" applyFill="1">
      <alignment/>
      <protection/>
    </xf>
    <xf numFmtId="0" fontId="7" fillId="0" borderId="35" xfId="65" applyFont="1" applyBorder="1">
      <alignment/>
      <protection/>
    </xf>
    <xf numFmtId="0" fontId="5" fillId="0" borderId="0" xfId="65" applyFont="1" applyBorder="1" quotePrefix="1">
      <alignment/>
      <protection/>
    </xf>
    <xf numFmtId="41" fontId="5" fillId="24" borderId="0" xfId="65" applyNumberFormat="1" applyFont="1" applyFill="1">
      <alignment/>
      <protection/>
    </xf>
    <xf numFmtId="41" fontId="13" fillId="24" borderId="0" xfId="65" applyNumberFormat="1" applyFont="1" applyFill="1">
      <alignment/>
      <protection/>
    </xf>
    <xf numFmtId="0" fontId="12" fillId="24" borderId="0" xfId="65" applyFont="1" applyFill="1">
      <alignment/>
      <protection/>
    </xf>
    <xf numFmtId="41" fontId="15" fillId="24" borderId="0" xfId="65" applyNumberFormat="1" applyFont="1" applyFill="1">
      <alignment/>
      <protection/>
    </xf>
    <xf numFmtId="0" fontId="9" fillId="0" borderId="0" xfId="65" applyFont="1" applyBorder="1">
      <alignment/>
      <protection/>
    </xf>
    <xf numFmtId="0" fontId="9" fillId="24" borderId="0" xfId="65" applyFont="1" applyFill="1">
      <alignment/>
      <protection/>
    </xf>
    <xf numFmtId="41" fontId="9" fillId="24" borderId="0" xfId="65" applyNumberFormat="1" applyFont="1" applyFill="1">
      <alignment/>
      <protection/>
    </xf>
    <xf numFmtId="0" fontId="9" fillId="0" borderId="0" xfId="65" applyFont="1" applyBorder="1" applyAlignment="1">
      <alignment horizontal="left"/>
      <protection/>
    </xf>
    <xf numFmtId="0" fontId="12" fillId="0" borderId="0" xfId="65" applyFont="1" applyAlignment="1">
      <alignment horizontal="left"/>
      <protection/>
    </xf>
    <xf numFmtId="41" fontId="16" fillId="24" borderId="0" xfId="65" applyNumberFormat="1" applyFont="1" applyFill="1">
      <alignment/>
      <protection/>
    </xf>
    <xf numFmtId="0" fontId="5" fillId="0" borderId="0" xfId="65" applyFont="1" applyFill="1" applyBorder="1" quotePrefix="1">
      <alignment/>
      <protection/>
    </xf>
    <xf numFmtId="0" fontId="5" fillId="0" borderId="0" xfId="65" applyFont="1" applyFill="1" applyBorder="1">
      <alignment/>
      <protection/>
    </xf>
    <xf numFmtId="41" fontId="5" fillId="0" borderId="0" xfId="65" applyNumberFormat="1" applyFont="1">
      <alignment/>
      <protection/>
    </xf>
    <xf numFmtId="41" fontId="11" fillId="0" borderId="0" xfId="65" applyNumberFormat="1" applyFont="1">
      <alignment/>
      <protection/>
    </xf>
    <xf numFmtId="41" fontId="13" fillId="0" borderId="0" xfId="65" applyNumberFormat="1" applyFont="1">
      <alignment/>
      <protection/>
    </xf>
    <xf numFmtId="41" fontId="15" fillId="0" borderId="0" xfId="65" applyNumberFormat="1" applyFont="1">
      <alignment/>
      <protection/>
    </xf>
    <xf numFmtId="41" fontId="9" fillId="0" borderId="0" xfId="65" applyNumberFormat="1" applyFont="1">
      <alignment/>
      <protection/>
    </xf>
    <xf numFmtId="0" fontId="17" fillId="0" borderId="0" xfId="65" applyFont="1">
      <alignment/>
      <protection/>
    </xf>
    <xf numFmtId="41" fontId="17" fillId="0" borderId="0" xfId="65" applyNumberFormat="1" applyFont="1">
      <alignment/>
      <protection/>
    </xf>
    <xf numFmtId="41" fontId="7" fillId="0" borderId="0" xfId="65" applyNumberFormat="1" applyFont="1">
      <alignment/>
      <protection/>
    </xf>
    <xf numFmtId="41" fontId="10" fillId="0" borderId="0" xfId="65" applyNumberFormat="1" applyFont="1">
      <alignment/>
      <protection/>
    </xf>
    <xf numFmtId="41" fontId="12" fillId="0" borderId="0" xfId="65" applyNumberFormat="1" applyFont="1">
      <alignment/>
      <protection/>
    </xf>
    <xf numFmtId="0" fontId="12" fillId="0" borderId="0" xfId="65" applyFont="1" applyBorder="1">
      <alignment/>
      <protection/>
    </xf>
    <xf numFmtId="0" fontId="12" fillId="0" borderId="0" xfId="65" applyFont="1" applyBorder="1" applyAlignment="1">
      <alignment horizontal="left"/>
      <protection/>
    </xf>
    <xf numFmtId="0" fontId="9" fillId="0" borderId="0" xfId="65" applyFont="1" applyFill="1" applyBorder="1">
      <alignment/>
      <protection/>
    </xf>
    <xf numFmtId="3" fontId="5" fillId="25" borderId="0" xfId="65" applyNumberFormat="1" applyFont="1" applyFill="1">
      <alignment/>
      <protection/>
    </xf>
    <xf numFmtId="41" fontId="18" fillId="0" borderId="0" xfId="65" applyNumberFormat="1" applyFont="1">
      <alignment/>
      <protection/>
    </xf>
    <xf numFmtId="41" fontId="19" fillId="0" borderId="0" xfId="65" applyNumberFormat="1" applyFont="1">
      <alignment/>
      <protection/>
    </xf>
    <xf numFmtId="41" fontId="5" fillId="0" borderId="0" xfId="65" applyNumberFormat="1" applyFont="1" applyBorder="1">
      <alignment/>
      <protection/>
    </xf>
    <xf numFmtId="41" fontId="13" fillId="0" borderId="0" xfId="65" applyNumberFormat="1" applyFont="1" applyBorder="1">
      <alignment/>
      <protection/>
    </xf>
    <xf numFmtId="41" fontId="15" fillId="0" borderId="0" xfId="65" applyNumberFormat="1" applyFont="1" applyBorder="1">
      <alignment/>
      <protection/>
    </xf>
    <xf numFmtId="165" fontId="7" fillId="26" borderId="0" xfId="42" applyNumberFormat="1" applyFont="1" applyFill="1" applyAlignment="1">
      <alignment/>
    </xf>
    <xf numFmtId="165" fontId="9" fillId="26" borderId="0" xfId="42" applyNumberFormat="1" applyFont="1" applyFill="1" applyAlignment="1">
      <alignment/>
    </xf>
    <xf numFmtId="0" fontId="20" fillId="0" borderId="12" xfId="64" applyFont="1" applyBorder="1">
      <alignment/>
      <protection/>
    </xf>
    <xf numFmtId="0" fontId="20" fillId="0" borderId="13" xfId="64" applyFont="1" applyBorder="1">
      <alignment/>
      <protection/>
    </xf>
    <xf numFmtId="0" fontId="20" fillId="0" borderId="10" xfId="64" applyFont="1" applyBorder="1">
      <alignment/>
      <protection/>
    </xf>
    <xf numFmtId="0" fontId="1" fillId="0" borderId="0" xfId="64">
      <alignment/>
      <protection/>
    </xf>
    <xf numFmtId="0" fontId="1" fillId="0" borderId="12" xfId="64" applyFont="1" applyBorder="1">
      <alignment/>
      <protection/>
    </xf>
    <xf numFmtId="0" fontId="1" fillId="0" borderId="0" xfId="64" applyFont="1" applyBorder="1">
      <alignment/>
      <protection/>
    </xf>
    <xf numFmtId="0" fontId="1" fillId="0" borderId="10" xfId="64" applyFont="1" applyBorder="1">
      <alignment/>
      <protection/>
    </xf>
    <xf numFmtId="0" fontId="21" fillId="0" borderId="14" xfId="64" applyFont="1" applyBorder="1">
      <alignment/>
      <protection/>
    </xf>
    <xf numFmtId="0" fontId="21" fillId="0" borderId="0" xfId="64" applyFont="1" applyBorder="1">
      <alignment/>
      <protection/>
    </xf>
    <xf numFmtId="0" fontId="21" fillId="0" borderId="15" xfId="64" applyFont="1" applyBorder="1">
      <alignment/>
      <protection/>
    </xf>
    <xf numFmtId="0" fontId="21" fillId="0" borderId="12" xfId="64" applyFont="1" applyBorder="1">
      <alignment/>
      <protection/>
    </xf>
    <xf numFmtId="0" fontId="21" fillId="0" borderId="10" xfId="64" applyFont="1" applyBorder="1">
      <alignment/>
      <protection/>
    </xf>
    <xf numFmtId="0" fontId="1" fillId="0" borderId="11" xfId="64" applyFont="1" applyBorder="1">
      <alignment/>
      <protection/>
    </xf>
    <xf numFmtId="0" fontId="22" fillId="0" borderId="11" xfId="64" applyFont="1" applyBorder="1">
      <alignment/>
      <protection/>
    </xf>
    <xf numFmtId="0" fontId="22" fillId="0" borderId="10" xfId="64" applyFont="1" applyBorder="1">
      <alignment/>
      <protection/>
    </xf>
    <xf numFmtId="0" fontId="22" fillId="0" borderId="10" xfId="64" applyFont="1" applyBorder="1" applyAlignment="1">
      <alignment horizontal="right"/>
      <protection/>
    </xf>
    <xf numFmtId="0" fontId="1" fillId="24" borderId="10" xfId="64" applyFont="1" applyFill="1" applyBorder="1">
      <alignment/>
      <protection/>
    </xf>
    <xf numFmtId="0" fontId="1" fillId="24" borderId="18" xfId="64" applyFont="1" applyFill="1" applyBorder="1">
      <alignment/>
      <protection/>
    </xf>
    <xf numFmtId="0" fontId="1" fillId="0" borderId="11" xfId="64" applyFont="1" applyBorder="1" quotePrefix="1">
      <alignment/>
      <protection/>
    </xf>
    <xf numFmtId="165" fontId="1" fillId="0" borderId="10" xfId="47" applyNumberFormat="1" applyBorder="1" applyAlignment="1">
      <alignment/>
    </xf>
    <xf numFmtId="0" fontId="22" fillId="24" borderId="10" xfId="64" applyFont="1" applyFill="1" applyBorder="1">
      <alignment/>
      <protection/>
    </xf>
    <xf numFmtId="165" fontId="1" fillId="26" borderId="10" xfId="47" applyNumberFormat="1" applyFill="1" applyBorder="1" applyAlignment="1">
      <alignment/>
    </xf>
    <xf numFmtId="0" fontId="1" fillId="0" borderId="10" xfId="64" applyFont="1" applyBorder="1">
      <alignment/>
      <protection/>
    </xf>
    <xf numFmtId="0" fontId="1" fillId="0" borderId="12" xfId="64" applyFont="1" applyBorder="1">
      <alignment/>
      <protection/>
    </xf>
    <xf numFmtId="0" fontId="1" fillId="24" borderId="10" xfId="64" applyFont="1" applyFill="1" applyBorder="1">
      <alignment/>
      <protection/>
    </xf>
    <xf numFmtId="0" fontId="23" fillId="0" borderId="12" xfId="64" applyFont="1" applyBorder="1">
      <alignment/>
      <protection/>
    </xf>
    <xf numFmtId="165" fontId="1" fillId="0" borderId="10" xfId="47" applyNumberFormat="1" applyFont="1" applyBorder="1" applyAlignment="1">
      <alignment/>
    </xf>
    <xf numFmtId="0" fontId="1" fillId="0" borderId="12" xfId="64" applyFont="1" applyFill="1" applyBorder="1">
      <alignment/>
      <protection/>
    </xf>
    <xf numFmtId="41" fontId="1" fillId="24" borderId="10" xfId="64" applyNumberFormat="1" applyFont="1" applyFill="1" applyBorder="1">
      <alignment/>
      <protection/>
    </xf>
    <xf numFmtId="3" fontId="24" fillId="24" borderId="10" xfId="64" applyNumberFormat="1" applyFont="1" applyFill="1" applyBorder="1" applyAlignment="1">
      <alignment horizontal="right"/>
      <protection/>
    </xf>
    <xf numFmtId="3" fontId="1" fillId="24" borderId="10" xfId="64" applyNumberFormat="1" applyFont="1" applyFill="1" applyBorder="1">
      <alignment/>
      <protection/>
    </xf>
    <xf numFmtId="0" fontId="1" fillId="0" borderId="16" xfId="64" applyFont="1" applyFill="1" applyBorder="1" quotePrefix="1">
      <alignment/>
      <protection/>
    </xf>
    <xf numFmtId="0" fontId="1" fillId="0" borderId="10" xfId="64" applyBorder="1">
      <alignment/>
      <protection/>
    </xf>
    <xf numFmtId="165" fontId="1" fillId="0" borderId="0" xfId="47" applyNumberFormat="1" applyAlignment="1">
      <alignment/>
    </xf>
    <xf numFmtId="0" fontId="1" fillId="0" borderId="11" xfId="64" applyBorder="1" quotePrefix="1">
      <alignment/>
      <protection/>
    </xf>
    <xf numFmtId="164" fontId="1" fillId="0" borderId="0" xfId="47" applyAlignment="1">
      <alignment/>
    </xf>
    <xf numFmtId="0" fontId="1" fillId="0" borderId="11" xfId="64" applyBorder="1">
      <alignment/>
      <protection/>
    </xf>
    <xf numFmtId="165" fontId="1" fillId="24" borderId="10" xfId="47" applyNumberFormat="1" applyFont="1" applyFill="1" applyBorder="1" applyAlignment="1">
      <alignment/>
    </xf>
    <xf numFmtId="165" fontId="25" fillId="24" borderId="10" xfId="47" applyNumberFormat="1" applyFont="1" applyFill="1" applyBorder="1" applyAlignment="1">
      <alignment/>
    </xf>
    <xf numFmtId="3" fontId="1" fillId="0" borderId="10" xfId="47" applyNumberFormat="1" applyBorder="1" applyAlignment="1">
      <alignment/>
    </xf>
    <xf numFmtId="0" fontId="26" fillId="0" borderId="11" xfId="64" applyFont="1" applyBorder="1">
      <alignment/>
      <protection/>
    </xf>
    <xf numFmtId="0" fontId="26" fillId="0" borderId="10" xfId="64" applyFont="1" applyBorder="1">
      <alignment/>
      <protection/>
    </xf>
    <xf numFmtId="0" fontId="26" fillId="24" borderId="10" xfId="64" applyFont="1" applyFill="1" applyBorder="1">
      <alignment/>
      <protection/>
    </xf>
    <xf numFmtId="3" fontId="27" fillId="24" borderId="10" xfId="64" applyNumberFormat="1" applyFont="1" applyFill="1" applyBorder="1">
      <alignment/>
      <protection/>
    </xf>
    <xf numFmtId="43" fontId="22" fillId="24" borderId="10" xfId="47" applyNumberFormat="1" applyFont="1" applyFill="1" applyBorder="1" applyAlignment="1">
      <alignment/>
    </xf>
    <xf numFmtId="3" fontId="22" fillId="24" borderId="10" xfId="64" applyNumberFormat="1" applyFont="1" applyFill="1" applyBorder="1">
      <alignment/>
      <protection/>
    </xf>
    <xf numFmtId="0" fontId="1" fillId="0" borderId="17" xfId="64" applyFont="1" applyBorder="1">
      <alignment/>
      <protection/>
    </xf>
    <xf numFmtId="0" fontId="22" fillId="0" borderId="17" xfId="64" applyFont="1" applyBorder="1">
      <alignment/>
      <protection/>
    </xf>
    <xf numFmtId="0" fontId="1" fillId="0" borderId="18" xfId="64" applyFont="1" applyBorder="1">
      <alignment/>
      <protection/>
    </xf>
    <xf numFmtId="41" fontId="1" fillId="24" borderId="18" xfId="64" applyNumberFormat="1" applyFont="1" applyFill="1" applyBorder="1">
      <alignment/>
      <protection/>
    </xf>
    <xf numFmtId="0" fontId="22" fillId="0" borderId="0" xfId="64" applyFont="1" applyFill="1" applyBorder="1" applyAlignment="1">
      <alignment horizontal="left"/>
      <protection/>
    </xf>
    <xf numFmtId="41" fontId="1" fillId="0" borderId="0" xfId="64" applyNumberFormat="1" applyFill="1" applyBorder="1" applyAlignment="1">
      <alignment/>
      <protection/>
    </xf>
    <xf numFmtId="0" fontId="28" fillId="0" borderId="0" xfId="64" applyFont="1" applyFill="1" applyBorder="1" applyAlignment="1">
      <alignment horizontal="left"/>
      <protection/>
    </xf>
    <xf numFmtId="0" fontId="29" fillId="0" borderId="0" xfId="64" applyFont="1" applyFill="1" applyBorder="1" applyAlignment="1">
      <alignment horizontal="left"/>
      <protection/>
    </xf>
    <xf numFmtId="41" fontId="22" fillId="0" borderId="0" xfId="64" applyNumberFormat="1" applyFont="1" applyFill="1" applyBorder="1" applyAlignment="1">
      <alignment horizontal="right"/>
      <protection/>
    </xf>
    <xf numFmtId="0" fontId="1" fillId="0" borderId="0" xfId="64" applyFont="1" applyFill="1" applyBorder="1" applyAlignment="1">
      <alignment horizontal="left"/>
      <protection/>
    </xf>
    <xf numFmtId="41" fontId="1" fillId="0" borderId="0" xfId="64" applyNumberFormat="1" applyFont="1" applyFill="1" applyBorder="1" applyAlignment="1">
      <alignment horizontal="right"/>
      <protection/>
    </xf>
    <xf numFmtId="0" fontId="23" fillId="0" borderId="0" xfId="64" applyFont="1" applyFill="1" applyBorder="1" applyAlignment="1">
      <alignment horizontal="left"/>
      <protection/>
    </xf>
    <xf numFmtId="41" fontId="23" fillId="0" borderId="0" xfId="64" applyNumberFormat="1" applyFont="1" applyFill="1" applyBorder="1" applyAlignment="1">
      <alignment horizontal="right"/>
      <protection/>
    </xf>
    <xf numFmtId="0" fontId="1" fillId="0" borderId="0" xfId="64" applyAlignment="1">
      <alignment horizontal="left"/>
      <protection/>
    </xf>
    <xf numFmtId="0" fontId="23" fillId="0" borderId="0" xfId="64" applyFont="1" applyAlignment="1">
      <alignment horizontal="left"/>
      <protection/>
    </xf>
    <xf numFmtId="0" fontId="23" fillId="0" borderId="0" xfId="64" applyFont="1">
      <alignment/>
      <protection/>
    </xf>
    <xf numFmtId="165" fontId="23" fillId="0" borderId="0" xfId="47" applyNumberFormat="1" applyFont="1" applyAlignment="1">
      <alignment/>
    </xf>
    <xf numFmtId="0" fontId="22" fillId="0" borderId="0" xfId="64" applyFont="1" applyAlignment="1">
      <alignment horizontal="left"/>
      <protection/>
    </xf>
    <xf numFmtId="0" fontId="22" fillId="0" borderId="0" xfId="64" applyFont="1">
      <alignment/>
      <protection/>
    </xf>
    <xf numFmtId="165" fontId="22" fillId="0" borderId="0" xfId="47" applyNumberFormat="1" applyFont="1" applyAlignment="1">
      <alignment/>
    </xf>
    <xf numFmtId="0" fontId="1" fillId="0" borderId="0" xfId="64" applyFont="1" applyAlignment="1">
      <alignment horizontal="left"/>
      <protection/>
    </xf>
    <xf numFmtId="0" fontId="1" fillId="0" borderId="0" xfId="64" applyFont="1">
      <alignment/>
      <protection/>
    </xf>
    <xf numFmtId="165" fontId="1" fillId="0" borderId="0" xfId="47" applyNumberFormat="1" applyFont="1" applyAlignment="1">
      <alignment/>
    </xf>
    <xf numFmtId="171" fontId="1" fillId="0" borderId="0" xfId="47" applyNumberFormat="1" applyAlignment="1">
      <alignment/>
    </xf>
    <xf numFmtId="0" fontId="30" fillId="0" borderId="0" xfId="64" applyFont="1" applyAlignment="1">
      <alignment horizontal="left"/>
      <protection/>
    </xf>
    <xf numFmtId="0" fontId="30" fillId="0" borderId="0" xfId="64" applyFont="1">
      <alignment/>
      <protection/>
    </xf>
    <xf numFmtId="165" fontId="30" fillId="0" borderId="0" xfId="47" applyNumberFormat="1" applyFont="1" applyAlignment="1">
      <alignment/>
    </xf>
    <xf numFmtId="168" fontId="22" fillId="0" borderId="0" xfId="64" applyNumberFormat="1" applyFont="1" applyFill="1" applyBorder="1" applyAlignment="1">
      <alignment horizontal="right"/>
      <protection/>
    </xf>
    <xf numFmtId="0" fontId="31" fillId="0" borderId="0" xfId="64" applyNumberFormat="1" applyFont="1" applyFill="1" applyBorder="1" applyAlignment="1">
      <alignment horizontal="right"/>
      <protection/>
    </xf>
    <xf numFmtId="0" fontId="32" fillId="0" borderId="0" xfId="64" applyFont="1">
      <alignment/>
      <protection/>
    </xf>
    <xf numFmtId="165" fontId="32" fillId="0" borderId="0" xfId="47" applyNumberFormat="1" applyFont="1" applyAlignment="1">
      <alignment/>
    </xf>
    <xf numFmtId="0" fontId="33" fillId="0" borderId="0" xfId="64" applyFont="1">
      <alignment/>
      <protection/>
    </xf>
    <xf numFmtId="165" fontId="34" fillId="0" borderId="0" xfId="47" applyNumberFormat="1" applyFont="1" applyAlignment="1">
      <alignment/>
    </xf>
    <xf numFmtId="170" fontId="32" fillId="0" borderId="0" xfId="64" applyNumberFormat="1" applyFont="1" applyFill="1" applyBorder="1" applyAlignment="1">
      <alignment/>
      <protection/>
    </xf>
    <xf numFmtId="0" fontId="1" fillId="0" borderId="0" xfId="64" applyBorder="1">
      <alignment/>
      <protection/>
    </xf>
    <xf numFmtId="0" fontId="1" fillId="0" borderId="0" xfId="64" applyFont="1" applyBorder="1" applyAlignment="1">
      <alignment horizontal="left"/>
      <protection/>
    </xf>
    <xf numFmtId="0" fontId="21" fillId="0" borderId="0" xfId="64" applyFont="1" applyAlignment="1">
      <alignment horizontal="left"/>
      <protection/>
    </xf>
    <xf numFmtId="0" fontId="1" fillId="0" borderId="0" xfId="64" applyFont="1">
      <alignment/>
      <protection/>
    </xf>
    <xf numFmtId="0" fontId="1" fillId="0" borderId="0" xfId="64" applyFont="1" applyAlignment="1">
      <alignment horizontal="left"/>
      <protection/>
    </xf>
    <xf numFmtId="0" fontId="21" fillId="0" borderId="0" xfId="64" applyFont="1" applyBorder="1">
      <alignment/>
      <protection/>
    </xf>
    <xf numFmtId="0" fontId="21" fillId="0" borderId="0" xfId="64" applyFont="1" applyAlignment="1">
      <alignment horizontal="left"/>
      <protection/>
    </xf>
    <xf numFmtId="0" fontId="22" fillId="0" borderId="0" xfId="64" applyFont="1" applyAlignment="1">
      <alignment horizontal="right"/>
      <protection/>
    </xf>
    <xf numFmtId="0" fontId="22" fillId="0" borderId="0" xfId="64" applyFont="1" applyBorder="1">
      <alignment/>
      <protection/>
    </xf>
    <xf numFmtId="0" fontId="22" fillId="0" borderId="0" xfId="64" applyFont="1" applyAlignment="1">
      <alignment horizontal="left"/>
      <protection/>
    </xf>
    <xf numFmtId="165" fontId="35" fillId="0" borderId="0" xfId="47" applyNumberFormat="1" applyFont="1" applyAlignment="1">
      <alignment/>
    </xf>
    <xf numFmtId="0" fontId="22" fillId="0" borderId="0" xfId="64" applyFont="1" applyBorder="1">
      <alignment/>
      <protection/>
    </xf>
    <xf numFmtId="0" fontId="1" fillId="0" borderId="0" xfId="64" applyFont="1" applyBorder="1">
      <alignment/>
      <protection/>
    </xf>
    <xf numFmtId="165" fontId="1" fillId="0" borderId="17" xfId="47" applyNumberFormat="1" applyBorder="1" applyAlignment="1">
      <alignment/>
    </xf>
    <xf numFmtId="165" fontId="1" fillId="0" borderId="16" xfId="47" applyNumberFormat="1" applyBorder="1" applyAlignment="1">
      <alignment/>
    </xf>
    <xf numFmtId="165" fontId="1" fillId="0" borderId="19" xfId="47" applyNumberFormat="1" applyBorder="1" applyAlignment="1">
      <alignment/>
    </xf>
    <xf numFmtId="165" fontId="31" fillId="0" borderId="0" xfId="47" applyNumberFormat="1" applyFont="1" applyAlignment="1">
      <alignment/>
    </xf>
    <xf numFmtId="165" fontId="36" fillId="0" borderId="0" xfId="47" applyNumberFormat="1" applyFont="1" applyAlignment="1">
      <alignment/>
    </xf>
    <xf numFmtId="165" fontId="37" fillId="0" borderId="0" xfId="47" applyNumberFormat="1" applyFont="1" applyAlignment="1">
      <alignment/>
    </xf>
    <xf numFmtId="165" fontId="1" fillId="0" borderId="0" xfId="64" applyNumberFormat="1">
      <alignment/>
      <protection/>
    </xf>
    <xf numFmtId="0" fontId="38" fillId="0" borderId="0" xfId="64" applyFont="1">
      <alignment/>
      <protection/>
    </xf>
    <xf numFmtId="0" fontId="39" fillId="0" borderId="0" xfId="64" applyFont="1" applyAlignment="1">
      <alignment horizontal="right"/>
      <protection/>
    </xf>
    <xf numFmtId="0" fontId="38" fillId="0" borderId="0" xfId="64" applyFont="1" applyBorder="1">
      <alignment/>
      <protection/>
    </xf>
    <xf numFmtId="0" fontId="38" fillId="0" borderId="0" xfId="64" applyFont="1" applyAlignment="1">
      <alignment horizontal="left"/>
      <protection/>
    </xf>
    <xf numFmtId="0" fontId="40" fillId="0" borderId="0" xfId="64" applyFont="1" applyAlignment="1">
      <alignment horizontal="left"/>
      <protection/>
    </xf>
    <xf numFmtId="15" fontId="21" fillId="0" borderId="0" xfId="64" applyNumberFormat="1" applyFont="1" applyAlignment="1">
      <alignment horizontal="left"/>
      <protection/>
    </xf>
    <xf numFmtId="0" fontId="21" fillId="0" borderId="0" xfId="64" applyFont="1">
      <alignment/>
      <protection/>
    </xf>
    <xf numFmtId="0" fontId="21" fillId="0" borderId="0" xfId="64" applyFont="1">
      <alignment/>
      <protection/>
    </xf>
    <xf numFmtId="0" fontId="22" fillId="0" borderId="20" xfId="64" applyFont="1" applyBorder="1">
      <alignment/>
      <protection/>
    </xf>
    <xf numFmtId="0" fontId="22" fillId="0" borderId="21" xfId="64" applyFont="1" applyBorder="1" applyAlignment="1">
      <alignment horizontal="right"/>
      <protection/>
    </xf>
    <xf numFmtId="0" fontId="22" fillId="0" borderId="22" xfId="64" applyFont="1" applyBorder="1">
      <alignment/>
      <protection/>
    </xf>
    <xf numFmtId="0" fontId="22" fillId="0" borderId="23" xfId="64" applyFont="1" applyBorder="1" applyAlignment="1">
      <alignment horizontal="right"/>
      <protection/>
    </xf>
    <xf numFmtId="0" fontId="22" fillId="0" borderId="24" xfId="64" applyFont="1" applyBorder="1">
      <alignment/>
      <protection/>
    </xf>
    <xf numFmtId="0" fontId="22" fillId="0" borderId="26" xfId="64" applyFont="1" applyBorder="1" applyAlignment="1">
      <alignment horizontal="right"/>
      <protection/>
    </xf>
    <xf numFmtId="0" fontId="39" fillId="0" borderId="23" xfId="64" applyFont="1" applyBorder="1" applyAlignment="1">
      <alignment horizontal="right"/>
      <protection/>
    </xf>
    <xf numFmtId="0" fontId="1" fillId="0" borderId="23" xfId="64" applyBorder="1">
      <alignment/>
      <protection/>
    </xf>
    <xf numFmtId="0" fontId="1" fillId="0" borderId="22" xfId="64" applyFont="1" applyBorder="1">
      <alignment/>
      <protection/>
    </xf>
    <xf numFmtId="0" fontId="39" fillId="0" borderId="22" xfId="64" applyFont="1" applyBorder="1">
      <alignment/>
      <protection/>
    </xf>
    <xf numFmtId="165" fontId="1" fillId="0" borderId="23" xfId="47" applyNumberFormat="1" applyBorder="1" applyAlignment="1">
      <alignment/>
    </xf>
    <xf numFmtId="0" fontId="22" fillId="0" borderId="27" xfId="64" applyFont="1" applyBorder="1">
      <alignment/>
      <protection/>
    </xf>
    <xf numFmtId="165" fontId="1" fillId="0" borderId="28" xfId="47" applyNumberFormat="1" applyBorder="1" applyAlignment="1">
      <alignment/>
    </xf>
    <xf numFmtId="165" fontId="1" fillId="0" borderId="26" xfId="47" applyNumberFormat="1" applyBorder="1" applyAlignment="1">
      <alignment/>
    </xf>
    <xf numFmtId="0" fontId="39" fillId="0" borderId="22" xfId="64" applyFont="1" applyBorder="1">
      <alignment/>
      <protection/>
    </xf>
    <xf numFmtId="0" fontId="1" fillId="0" borderId="29" xfId="64" applyFont="1" applyBorder="1">
      <alignment/>
      <protection/>
    </xf>
    <xf numFmtId="0" fontId="21" fillId="0" borderId="22" xfId="64" applyFont="1" applyBorder="1">
      <alignment/>
      <protection/>
    </xf>
    <xf numFmtId="165" fontId="21" fillId="0" borderId="23" xfId="47" applyNumberFormat="1" applyFont="1" applyBorder="1" applyAlignment="1">
      <alignment/>
    </xf>
    <xf numFmtId="0" fontId="21" fillId="0" borderId="30" xfId="64" applyFont="1" applyBorder="1">
      <alignment/>
      <protection/>
    </xf>
    <xf numFmtId="165" fontId="1" fillId="0" borderId="32" xfId="47" applyNumberFormat="1" applyBorder="1" applyAlignment="1">
      <alignment/>
    </xf>
    <xf numFmtId="0" fontId="1" fillId="0" borderId="30" xfId="64" applyFont="1" applyBorder="1">
      <alignment/>
      <protection/>
    </xf>
    <xf numFmtId="165" fontId="1" fillId="0" borderId="34" xfId="47" applyNumberFormat="1" applyBorder="1" applyAlignment="1">
      <alignment/>
    </xf>
    <xf numFmtId="0" fontId="22" fillId="0" borderId="0" xfId="64" applyFont="1" quotePrefix="1">
      <alignment/>
      <protection/>
    </xf>
    <xf numFmtId="165" fontId="41" fillId="0" borderId="0" xfId="47" applyNumberFormat="1" applyFont="1" applyAlignment="1">
      <alignment/>
    </xf>
    <xf numFmtId="0" fontId="4" fillId="0" borderId="0" xfId="64" applyFont="1">
      <alignment/>
      <protection/>
    </xf>
    <xf numFmtId="0" fontId="42" fillId="0" borderId="0" xfId="64" applyFont="1">
      <alignment/>
      <protection/>
    </xf>
    <xf numFmtId="0" fontId="7" fillId="0" borderId="0" xfId="64" applyFont="1">
      <alignment/>
      <protection/>
    </xf>
    <xf numFmtId="0" fontId="5" fillId="0" borderId="0" xfId="64" applyFont="1">
      <alignment/>
      <protection/>
    </xf>
    <xf numFmtId="0" fontId="43" fillId="0" borderId="0" xfId="64" applyFont="1">
      <alignment/>
      <protection/>
    </xf>
    <xf numFmtId="165" fontId="1" fillId="0" borderId="0" xfId="47" applyNumberFormat="1" applyFont="1" applyAlignment="1">
      <alignment/>
    </xf>
    <xf numFmtId="0" fontId="4" fillId="0" borderId="0" xfId="64" applyFont="1" applyBorder="1">
      <alignment/>
      <protection/>
    </xf>
    <xf numFmtId="165" fontId="41" fillId="0" borderId="0" xfId="47" applyNumberFormat="1" applyFont="1" applyAlignment="1">
      <alignment/>
    </xf>
    <xf numFmtId="165" fontId="35" fillId="0" borderId="0" xfId="47" applyNumberFormat="1" applyFont="1" applyAlignment="1">
      <alignment/>
    </xf>
    <xf numFmtId="0" fontId="5" fillId="0" borderId="0" xfId="64" applyFont="1" applyAlignment="1">
      <alignment horizontal="right"/>
      <protection/>
    </xf>
    <xf numFmtId="164" fontId="5" fillId="24" borderId="0" xfId="47" applyFont="1" applyFill="1" applyAlignment="1">
      <alignment/>
    </xf>
    <xf numFmtId="0" fontId="1" fillId="0" borderId="0" xfId="64" applyAlignment="1">
      <alignment horizontal="right"/>
      <protection/>
    </xf>
    <xf numFmtId="0" fontId="5" fillId="24" borderId="0" xfId="64" applyFont="1" applyFill="1">
      <alignment/>
      <protection/>
    </xf>
    <xf numFmtId="0" fontId="7" fillId="0" borderId="0" xfId="64" applyFont="1" quotePrefix="1">
      <alignment/>
      <protection/>
    </xf>
    <xf numFmtId="0" fontId="22" fillId="0" borderId="0" xfId="64" applyFont="1" applyAlignment="1">
      <alignment horizontal="center"/>
      <protection/>
    </xf>
    <xf numFmtId="0" fontId="22" fillId="0" borderId="0" xfId="64" applyFont="1" applyFill="1" applyBorder="1">
      <alignment/>
      <protection/>
    </xf>
    <xf numFmtId="164" fontId="1" fillId="0" borderId="0" xfId="47" applyFont="1" applyAlignment="1">
      <alignment/>
    </xf>
    <xf numFmtId="0" fontId="1" fillId="0" borderId="0" xfId="64" applyFont="1" applyAlignment="1">
      <alignment horizontal="center"/>
      <protection/>
    </xf>
    <xf numFmtId="165" fontId="22" fillId="0" borderId="0" xfId="64" applyNumberFormat="1" applyFont="1" applyBorder="1">
      <alignment/>
      <protection/>
    </xf>
    <xf numFmtId="165" fontId="1" fillId="0" borderId="0" xfId="64" applyNumberFormat="1" applyFont="1">
      <alignment/>
      <protection/>
    </xf>
    <xf numFmtId="0" fontId="1" fillId="0" borderId="0" xfId="64" applyFont="1" applyAlignment="1">
      <alignment horizontal="left" indent="2"/>
      <protection/>
    </xf>
    <xf numFmtId="165" fontId="1" fillId="0" borderId="0" xfId="64" applyNumberFormat="1" applyFont="1" applyAlignment="1">
      <alignment horizontal="right"/>
      <protection/>
    </xf>
    <xf numFmtId="0" fontId="1" fillId="0" borderId="0" xfId="64" applyFont="1" applyAlignment="1">
      <alignment/>
      <protection/>
    </xf>
    <xf numFmtId="165" fontId="1" fillId="0" borderId="0" xfId="47" applyNumberFormat="1" applyAlignment="1">
      <alignment horizontal="right"/>
    </xf>
    <xf numFmtId="165" fontId="35" fillId="0" borderId="0" xfId="47" applyNumberFormat="1" applyFont="1" applyAlignment="1">
      <alignment horizontal="right"/>
    </xf>
    <xf numFmtId="165" fontId="34" fillId="0" borderId="0" xfId="47" applyNumberFormat="1" applyFont="1" applyAlignment="1">
      <alignment horizontal="right"/>
    </xf>
    <xf numFmtId="0" fontId="1" fillId="0" borderId="0" xfId="64" applyFont="1" applyAlignment="1">
      <alignment horizontal="right"/>
      <protection/>
    </xf>
    <xf numFmtId="165" fontId="37" fillId="0" borderId="0" xfId="47" applyNumberFormat="1" applyFont="1" applyAlignment="1">
      <alignment horizontal="right"/>
    </xf>
    <xf numFmtId="165" fontId="41" fillId="0" borderId="0" xfId="47" applyNumberFormat="1" applyFont="1" applyAlignment="1">
      <alignment horizontal="right"/>
    </xf>
    <xf numFmtId="0" fontId="1" fillId="0" borderId="0" xfId="64" applyNumberFormat="1" applyFont="1">
      <alignment/>
      <protection/>
    </xf>
    <xf numFmtId="0" fontId="20" fillId="0" borderId="0" xfId="64" applyFont="1" applyBorder="1">
      <alignment/>
      <protection/>
    </xf>
    <xf numFmtId="0" fontId="1" fillId="24" borderId="0" xfId="64" applyFont="1" applyFill="1">
      <alignment/>
      <protection/>
    </xf>
    <xf numFmtId="0" fontId="20" fillId="0" borderId="35" xfId="64" applyFont="1" applyBorder="1">
      <alignment/>
      <protection/>
    </xf>
    <xf numFmtId="0" fontId="22" fillId="0" borderId="35" xfId="64" applyFont="1" applyBorder="1">
      <alignment/>
      <protection/>
    </xf>
    <xf numFmtId="0" fontId="22" fillId="24" borderId="0" xfId="64" applyFont="1" applyFill="1">
      <alignment/>
      <protection/>
    </xf>
    <xf numFmtId="0" fontId="7" fillId="24" borderId="0" xfId="64" applyFont="1" applyFill="1">
      <alignment/>
      <protection/>
    </xf>
    <xf numFmtId="0" fontId="22" fillId="24" borderId="0" xfId="64" applyFont="1" applyFill="1" applyAlignment="1">
      <alignment horizontal="right"/>
      <protection/>
    </xf>
    <xf numFmtId="0" fontId="7" fillId="24" borderId="0" xfId="64" applyFont="1" applyFill="1" applyAlignment="1">
      <alignment horizontal="right"/>
      <protection/>
    </xf>
    <xf numFmtId="0" fontId="5" fillId="0" borderId="0" xfId="64" applyFont="1" applyAlignment="1">
      <alignment horizontal="center"/>
      <protection/>
    </xf>
    <xf numFmtId="0" fontId="42" fillId="24" borderId="0" xfId="64" applyFont="1" applyFill="1" applyAlignment="1">
      <alignment horizontal="right"/>
      <protection/>
    </xf>
    <xf numFmtId="0" fontId="1" fillId="24" borderId="0" xfId="64" applyFont="1" applyFill="1">
      <alignment/>
      <protection/>
    </xf>
    <xf numFmtId="0" fontId="1" fillId="0" borderId="0" xfId="64" applyFont="1" applyBorder="1" quotePrefix="1">
      <alignment/>
      <protection/>
    </xf>
    <xf numFmtId="41" fontId="1" fillId="24" borderId="0" xfId="64" applyNumberFormat="1" applyFont="1" applyFill="1">
      <alignment/>
      <protection/>
    </xf>
    <xf numFmtId="41" fontId="1" fillId="24" borderId="0" xfId="64" applyNumberFormat="1" applyFont="1" applyFill="1">
      <alignment/>
      <protection/>
    </xf>
    <xf numFmtId="41" fontId="35" fillId="24" borderId="0" xfId="64" applyNumberFormat="1" applyFont="1" applyFill="1">
      <alignment/>
      <protection/>
    </xf>
    <xf numFmtId="41" fontId="35" fillId="24" borderId="0" xfId="64" applyNumberFormat="1" applyFont="1" applyFill="1">
      <alignment/>
      <protection/>
    </xf>
    <xf numFmtId="0" fontId="32" fillId="24" borderId="0" xfId="64" applyFont="1" applyFill="1">
      <alignment/>
      <protection/>
    </xf>
    <xf numFmtId="41" fontId="44" fillId="24" borderId="0" xfId="64" applyNumberFormat="1" applyFont="1" applyFill="1">
      <alignment/>
      <protection/>
    </xf>
    <xf numFmtId="0" fontId="23" fillId="0" borderId="0" xfId="64" applyFont="1" applyBorder="1">
      <alignment/>
      <protection/>
    </xf>
    <xf numFmtId="0" fontId="23" fillId="24" borderId="0" xfId="64" applyFont="1" applyFill="1">
      <alignment/>
      <protection/>
    </xf>
    <xf numFmtId="41" fontId="23" fillId="24" borderId="0" xfId="64" applyNumberFormat="1" applyFont="1" applyFill="1">
      <alignment/>
      <protection/>
    </xf>
    <xf numFmtId="0" fontId="23" fillId="0" borderId="0" xfId="64" applyFont="1" applyBorder="1" applyAlignment="1">
      <alignment horizontal="left"/>
      <protection/>
    </xf>
    <xf numFmtId="0" fontId="32" fillId="0" borderId="0" xfId="64" applyFont="1" applyAlignment="1">
      <alignment horizontal="left"/>
      <protection/>
    </xf>
    <xf numFmtId="41" fontId="45" fillId="24" borderId="0" xfId="64" applyNumberFormat="1" applyFont="1" applyFill="1">
      <alignment/>
      <protection/>
    </xf>
    <xf numFmtId="0" fontId="1" fillId="0" borderId="0" xfId="64" applyFont="1" applyFill="1" applyBorder="1" quotePrefix="1">
      <alignment/>
      <protection/>
    </xf>
    <xf numFmtId="0" fontId="1" fillId="0" borderId="0" xfId="64" applyFont="1" applyFill="1" applyBorder="1">
      <alignment/>
      <protection/>
    </xf>
    <xf numFmtId="41" fontId="1" fillId="0" borderId="0" xfId="64" applyNumberFormat="1" applyFont="1">
      <alignment/>
      <protection/>
    </xf>
    <xf numFmtId="41" fontId="35" fillId="0" borderId="0" xfId="64" applyNumberFormat="1" applyFont="1">
      <alignment/>
      <protection/>
    </xf>
    <xf numFmtId="41" fontId="44" fillId="0" borderId="0" xfId="64" applyNumberFormat="1" applyFont="1">
      <alignment/>
      <protection/>
    </xf>
    <xf numFmtId="41" fontId="1" fillId="0" borderId="0" xfId="64" applyNumberFormat="1" applyFont="1">
      <alignment/>
      <protection/>
    </xf>
    <xf numFmtId="41" fontId="23" fillId="0" borderId="0" xfId="64" applyNumberFormat="1" applyFont="1">
      <alignment/>
      <protection/>
    </xf>
    <xf numFmtId="41" fontId="35" fillId="0" borderId="0" xfId="64" applyNumberFormat="1" applyFont="1">
      <alignment/>
      <protection/>
    </xf>
    <xf numFmtId="0" fontId="46" fillId="0" borderId="0" xfId="64" applyFont="1">
      <alignment/>
      <protection/>
    </xf>
    <xf numFmtId="41" fontId="46" fillId="0" borderId="0" xfId="64" applyNumberFormat="1" applyFont="1">
      <alignment/>
      <protection/>
    </xf>
    <xf numFmtId="41" fontId="22" fillId="0" borderId="0" xfId="64" applyNumberFormat="1" applyFont="1">
      <alignment/>
      <protection/>
    </xf>
    <xf numFmtId="41" fontId="32" fillId="0" borderId="0" xfId="64" applyNumberFormat="1" applyFont="1">
      <alignment/>
      <protection/>
    </xf>
    <xf numFmtId="0" fontId="32" fillId="0" borderId="0" xfId="64" applyFont="1" applyBorder="1">
      <alignment/>
      <protection/>
    </xf>
    <xf numFmtId="0" fontId="32" fillId="0" borderId="0" xfId="64" applyFont="1" applyBorder="1" applyAlignment="1">
      <alignment horizontal="left"/>
      <protection/>
    </xf>
    <xf numFmtId="0" fontId="23" fillId="0" borderId="0" xfId="64" applyFont="1" applyFill="1" applyBorder="1">
      <alignment/>
      <protection/>
    </xf>
    <xf numFmtId="0" fontId="1" fillId="0" borderId="0" xfId="64" applyFont="1" applyBorder="1" quotePrefix="1">
      <alignment/>
      <protection/>
    </xf>
    <xf numFmtId="0" fontId="22" fillId="0" borderId="0" xfId="64" applyNumberFormat="1" applyFont="1" applyAlignment="1">
      <alignment horizontal="right"/>
      <protection/>
    </xf>
    <xf numFmtId="0" fontId="1" fillId="0" borderId="0" xfId="64" applyFont="1" applyFill="1" applyBorder="1">
      <alignment/>
      <protection/>
    </xf>
    <xf numFmtId="41" fontId="47" fillId="0" borderId="0" xfId="64" applyNumberFormat="1" applyFont="1">
      <alignment/>
      <protection/>
    </xf>
    <xf numFmtId="41" fontId="1" fillId="0" borderId="0" xfId="64" applyNumberFormat="1">
      <alignment/>
      <protection/>
    </xf>
    <xf numFmtId="41" fontId="1" fillId="0" borderId="0" xfId="64" applyNumberFormat="1" applyFont="1" applyBorder="1">
      <alignment/>
      <protection/>
    </xf>
    <xf numFmtId="41" fontId="35" fillId="0" borderId="0" xfId="64" applyNumberFormat="1" applyFont="1" applyBorder="1">
      <alignment/>
      <protection/>
    </xf>
    <xf numFmtId="41" fontId="44" fillId="0" borderId="0" xfId="64" applyNumberFormat="1" applyFont="1" applyBorder="1">
      <alignment/>
      <protection/>
    </xf>
    <xf numFmtId="0" fontId="0" fillId="0" borderId="0" xfId="0" applyFont="1" applyFill="1" applyBorder="1" applyAlignment="1">
      <alignment/>
    </xf>
    <xf numFmtId="0" fontId="6" fillId="0" borderId="0" xfId="0" applyFont="1" applyFill="1" applyBorder="1" applyAlignment="1">
      <alignment/>
    </xf>
    <xf numFmtId="165" fontId="0" fillId="0" borderId="0" xfId="42" applyNumberFormat="1" applyFont="1" applyFill="1" applyBorder="1" applyAlignment="1">
      <alignment/>
    </xf>
    <xf numFmtId="165" fontId="6" fillId="0" borderId="10" xfId="42" applyNumberFormat="1" applyFont="1" applyFill="1" applyBorder="1" applyAlignment="1">
      <alignment/>
    </xf>
    <xf numFmtId="165" fontId="0" fillId="0" borderId="0" xfId="42" applyNumberFormat="1" applyFont="1" applyFill="1" applyAlignment="1">
      <alignment/>
    </xf>
    <xf numFmtId="0" fontId="0" fillId="0" borderId="0" xfId="0" applyFont="1" applyFill="1" applyAlignment="1">
      <alignment/>
    </xf>
    <xf numFmtId="0" fontId="6" fillId="0" borderId="0" xfId="0" applyFont="1" applyFill="1" applyBorder="1" applyAlignment="1">
      <alignment horizontal="center"/>
    </xf>
    <xf numFmtId="165" fontId="6" fillId="0" borderId="0" xfId="42" applyNumberFormat="1" applyFont="1" applyFill="1" applyBorder="1" applyAlignment="1">
      <alignment/>
    </xf>
    <xf numFmtId="165" fontId="6" fillId="0" borderId="33" xfId="42" applyNumberFormat="1" applyFont="1" applyFill="1" applyBorder="1" applyAlignment="1">
      <alignment/>
    </xf>
    <xf numFmtId="165" fontId="1" fillId="0" borderId="0" xfId="42" applyNumberFormat="1" applyFont="1" applyAlignment="1">
      <alignment/>
    </xf>
    <xf numFmtId="0" fontId="6" fillId="0" borderId="0" xfId="0" applyFont="1" applyAlignment="1">
      <alignment horizontal="left"/>
    </xf>
    <xf numFmtId="0" fontId="48" fillId="0" borderId="0" xfId="0" applyFont="1" applyAlignment="1">
      <alignment/>
    </xf>
    <xf numFmtId="0" fontId="49" fillId="0" borderId="0" xfId="0" applyFont="1" applyBorder="1" applyAlignment="1">
      <alignment/>
    </xf>
    <xf numFmtId="0" fontId="0" fillId="0" borderId="0" xfId="0" applyFont="1" applyAlignment="1">
      <alignment horizontal="left" wrapText="1"/>
    </xf>
    <xf numFmtId="0" fontId="6" fillId="0" borderId="0" xfId="0" applyFont="1" applyAlignment="1">
      <alignment horizontal="left" wrapText="1"/>
    </xf>
    <xf numFmtId="0" fontId="49" fillId="0" borderId="0" xfId="0" applyFont="1" applyAlignment="1">
      <alignment vertical="top" wrapText="1"/>
    </xf>
    <xf numFmtId="0" fontId="48" fillId="0" borderId="0" xfId="0" applyFont="1" applyAlignment="1">
      <alignment horizontal="center" vertical="top" wrapText="1"/>
    </xf>
    <xf numFmtId="0" fontId="48" fillId="0" borderId="0" xfId="0" applyFont="1" applyBorder="1" applyAlignment="1">
      <alignment vertical="top" wrapText="1"/>
    </xf>
    <xf numFmtId="0" fontId="48" fillId="0" borderId="0" xfId="0" applyFont="1" applyAlignment="1">
      <alignment horizontal="right" vertical="top" wrapText="1"/>
    </xf>
    <xf numFmtId="0" fontId="50" fillId="0" borderId="0" xfId="0" applyFont="1" applyAlignment="1">
      <alignment horizontal="right" vertical="top" wrapText="1"/>
    </xf>
    <xf numFmtId="0" fontId="48" fillId="0" borderId="0" xfId="0" applyFont="1" applyAlignment="1">
      <alignment vertical="top" wrapText="1"/>
    </xf>
    <xf numFmtId="0" fontId="49" fillId="0" borderId="0" xfId="0" applyFont="1" applyAlignment="1">
      <alignment horizontal="center" vertical="top" wrapText="1"/>
    </xf>
    <xf numFmtId="165" fontId="49" fillId="0" borderId="0" xfId="42" applyNumberFormat="1" applyFont="1" applyAlignment="1">
      <alignment horizontal="center" vertical="top" wrapText="1"/>
    </xf>
    <xf numFmtId="165" fontId="49" fillId="0" borderId="0" xfId="42" applyNumberFormat="1" applyFont="1" applyBorder="1" applyAlignment="1">
      <alignment horizontal="right" vertical="top" wrapText="1"/>
    </xf>
    <xf numFmtId="165" fontId="49" fillId="0" borderId="0" xfId="42" applyNumberFormat="1" applyFont="1" applyAlignment="1">
      <alignment horizontal="right" vertical="top" wrapText="1"/>
    </xf>
    <xf numFmtId="165" fontId="48" fillId="0" borderId="0" xfId="42" applyNumberFormat="1" applyFont="1" applyAlignment="1">
      <alignment horizontal="right" vertical="top" wrapText="1"/>
    </xf>
    <xf numFmtId="165" fontId="0" fillId="0" borderId="0" xfId="42" applyNumberFormat="1" applyFont="1" applyFill="1" applyAlignment="1">
      <alignment horizontal="right" vertical="top" wrapText="1"/>
    </xf>
    <xf numFmtId="165" fontId="0" fillId="0" borderId="0" xfId="42" applyNumberFormat="1" applyFont="1" applyFill="1" applyBorder="1" applyAlignment="1">
      <alignment horizontal="right" vertical="top" wrapText="1"/>
    </xf>
    <xf numFmtId="165" fontId="49" fillId="0" borderId="0" xfId="42" applyNumberFormat="1" applyFont="1" applyBorder="1" applyAlignment="1">
      <alignment wrapText="1"/>
    </xf>
    <xf numFmtId="165" fontId="0" fillId="0" borderId="0" xfId="42" applyNumberFormat="1" applyFont="1" applyBorder="1" applyAlignment="1">
      <alignment wrapText="1"/>
    </xf>
    <xf numFmtId="165" fontId="0" fillId="0" borderId="0" xfId="42" applyNumberFormat="1" applyFont="1" applyBorder="1" applyAlignment="1">
      <alignment horizontal="right" vertical="top" wrapText="1"/>
    </xf>
    <xf numFmtId="165" fontId="49" fillId="0" borderId="0" xfId="42" applyNumberFormat="1" applyFont="1" applyFill="1" applyBorder="1" applyAlignment="1">
      <alignment horizontal="right" vertical="top" wrapText="1"/>
    </xf>
    <xf numFmtId="165" fontId="49" fillId="0" borderId="33" xfId="42" applyNumberFormat="1" applyFont="1" applyBorder="1" applyAlignment="1">
      <alignment horizontal="right" vertical="top" wrapText="1"/>
    </xf>
    <xf numFmtId="165" fontId="48" fillId="0" borderId="33" xfId="42" applyNumberFormat="1" applyFont="1" applyBorder="1" applyAlignment="1">
      <alignment horizontal="right" vertical="top" wrapText="1"/>
    </xf>
    <xf numFmtId="0" fontId="49" fillId="0" borderId="0" xfId="0" applyFont="1" applyAlignment="1">
      <alignment horizontal="right" vertical="top" wrapText="1"/>
    </xf>
    <xf numFmtId="0" fontId="49" fillId="0" borderId="0" xfId="0" applyFont="1" applyBorder="1" applyAlignment="1">
      <alignment horizontal="right" vertical="top" wrapText="1"/>
    </xf>
    <xf numFmtId="0" fontId="49" fillId="0" borderId="0" xfId="0" applyFont="1" applyBorder="1" applyAlignment="1">
      <alignment vertical="top" wrapText="1"/>
    </xf>
    <xf numFmtId="0" fontId="49" fillId="0" borderId="0" xfId="0" applyFont="1" applyBorder="1" applyAlignment="1">
      <alignment horizontal="center" vertical="top" wrapText="1"/>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vertical="top" wrapText="1"/>
    </xf>
    <xf numFmtId="0" fontId="0" fillId="0" borderId="0" xfId="0" applyFont="1" applyFill="1" applyBorder="1" applyAlignment="1">
      <alignment wrapText="1"/>
    </xf>
    <xf numFmtId="0" fontId="50" fillId="0" borderId="0" xfId="0" applyFont="1" applyAlignment="1">
      <alignment vertical="top" wrapText="1"/>
    </xf>
    <xf numFmtId="0" fontId="51" fillId="0" borderId="0" xfId="0" applyFont="1" applyAlignment="1">
      <alignment/>
    </xf>
    <xf numFmtId="0" fontId="51" fillId="0" borderId="0" xfId="0" applyFont="1" applyFill="1" applyBorder="1" applyAlignment="1">
      <alignment/>
    </xf>
    <xf numFmtId="0" fontId="51" fillId="0" borderId="0" xfId="0" applyFont="1" applyFill="1" applyBorder="1" applyAlignment="1">
      <alignment horizontal="center"/>
    </xf>
    <xf numFmtId="0" fontId="52" fillId="0" borderId="0" xfId="0" applyFont="1" applyFill="1" applyAlignment="1">
      <alignment/>
    </xf>
    <xf numFmtId="0" fontId="51" fillId="0" borderId="0" xfId="0" applyFont="1" applyFill="1" applyAlignment="1">
      <alignment horizontal="right"/>
    </xf>
    <xf numFmtId="0" fontId="51" fillId="0" borderId="0" xfId="0" applyFont="1" applyFill="1" applyBorder="1" applyAlignment="1">
      <alignment horizontal="right"/>
    </xf>
    <xf numFmtId="0" fontId="52" fillId="0" borderId="0" xfId="0" applyFont="1" applyFill="1" applyBorder="1" applyAlignment="1">
      <alignment/>
    </xf>
    <xf numFmtId="0" fontId="52" fillId="0" borderId="0" xfId="0" applyFont="1" applyFill="1" applyBorder="1" applyAlignment="1">
      <alignment horizontal="center"/>
    </xf>
    <xf numFmtId="0" fontId="52" fillId="0" borderId="0" xfId="0" applyFont="1" applyFill="1" applyAlignment="1">
      <alignment horizontal="center"/>
    </xf>
    <xf numFmtId="165" fontId="52" fillId="0" borderId="0" xfId="42" applyNumberFormat="1" applyFont="1" applyFill="1" applyBorder="1" applyAlignment="1">
      <alignment/>
    </xf>
    <xf numFmtId="43" fontId="52" fillId="0" borderId="0" xfId="42" applyFont="1" applyFill="1" applyAlignment="1">
      <alignment/>
    </xf>
    <xf numFmtId="165" fontId="51" fillId="0" borderId="0" xfId="42" applyNumberFormat="1" applyFont="1" applyFill="1" applyBorder="1" applyAlignment="1">
      <alignment/>
    </xf>
    <xf numFmtId="165" fontId="52" fillId="0" borderId="0" xfId="0" applyNumberFormat="1" applyFont="1" applyFill="1" applyAlignment="1">
      <alignment/>
    </xf>
    <xf numFmtId="165" fontId="52" fillId="0" borderId="0" xfId="42" applyNumberFormat="1" applyFont="1" applyFill="1" applyAlignment="1">
      <alignment/>
    </xf>
    <xf numFmtId="43" fontId="52" fillId="0" borderId="0" xfId="0" applyNumberFormat="1" applyFont="1" applyFill="1" applyAlignment="1">
      <alignment/>
    </xf>
    <xf numFmtId="0" fontId="51" fillId="0" borderId="0" xfId="0" applyFont="1" applyFill="1" applyAlignment="1">
      <alignment/>
    </xf>
    <xf numFmtId="165" fontId="52" fillId="0" borderId="0" xfId="42" applyNumberFormat="1" applyFont="1" applyFill="1" applyAlignment="1">
      <alignment horizontal="right"/>
    </xf>
    <xf numFmtId="0" fontId="52" fillId="0" borderId="0" xfId="0" applyFont="1" applyAlignment="1">
      <alignment/>
    </xf>
    <xf numFmtId="165" fontId="52" fillId="0" borderId="0" xfId="0" applyNumberFormat="1" applyFont="1" applyFill="1" applyBorder="1" applyAlignment="1">
      <alignment/>
    </xf>
    <xf numFmtId="0" fontId="51" fillId="0" borderId="0" xfId="0" applyFont="1" applyFill="1" applyAlignment="1">
      <alignment horizontal="left"/>
    </xf>
    <xf numFmtId="165" fontId="51" fillId="0" borderId="0" xfId="42" applyNumberFormat="1" applyFont="1" applyFill="1" applyAlignment="1">
      <alignment horizontal="right"/>
    </xf>
    <xf numFmtId="165" fontId="52" fillId="0" borderId="0" xfId="42" applyNumberFormat="1" applyFont="1" applyFill="1" applyBorder="1" applyAlignment="1">
      <alignment horizontal="right"/>
    </xf>
    <xf numFmtId="165" fontId="51" fillId="0" borderId="0" xfId="42" applyNumberFormat="1" applyFont="1" applyFill="1" applyBorder="1" applyAlignment="1">
      <alignment horizontal="right"/>
    </xf>
    <xf numFmtId="0" fontId="51" fillId="0" borderId="0" xfId="0" applyFont="1" applyBorder="1" applyAlignment="1">
      <alignment/>
    </xf>
    <xf numFmtId="0" fontId="52" fillId="0" borderId="0" xfId="0" applyFont="1" applyBorder="1" applyAlignment="1">
      <alignment/>
    </xf>
    <xf numFmtId="43" fontId="52" fillId="0" borderId="0" xfId="42" applyFont="1" applyBorder="1" applyAlignment="1">
      <alignment/>
    </xf>
    <xf numFmtId="165" fontId="54" fillId="0" borderId="0" xfId="42" applyNumberFormat="1" applyFont="1" applyFill="1" applyBorder="1" applyAlignment="1">
      <alignment/>
    </xf>
    <xf numFmtId="165" fontId="52" fillId="0" borderId="0" xfId="42" applyNumberFormat="1" applyFont="1" applyBorder="1" applyAlignment="1">
      <alignment/>
    </xf>
    <xf numFmtId="0" fontId="52" fillId="0" borderId="0" xfId="0" applyFont="1" applyBorder="1" applyAlignment="1">
      <alignment horizontal="center"/>
    </xf>
    <xf numFmtId="0" fontId="51" fillId="0" borderId="36" xfId="0" applyFont="1" applyFill="1" applyBorder="1" applyAlignment="1">
      <alignment horizontal="right"/>
    </xf>
    <xf numFmtId="0" fontId="53" fillId="0" borderId="0" xfId="0" applyFont="1" applyFill="1" applyBorder="1" applyAlignment="1">
      <alignment horizontal="center"/>
    </xf>
    <xf numFmtId="0" fontId="73" fillId="0" borderId="0" xfId="63" applyFont="1">
      <alignment/>
      <protection/>
    </xf>
    <xf numFmtId="0" fontId="55" fillId="0" borderId="0" xfId="63" applyFont="1" applyAlignment="1">
      <alignment horizontal="center"/>
      <protection/>
    </xf>
    <xf numFmtId="0" fontId="55" fillId="0" borderId="0" xfId="63" applyFont="1" applyBorder="1" applyAlignment="1">
      <alignment vertical="top" wrapText="1"/>
      <protection/>
    </xf>
    <xf numFmtId="0" fontId="73" fillId="0" borderId="0" xfId="63" applyFont="1" applyBorder="1" applyAlignment="1">
      <alignment horizontal="right"/>
      <protection/>
    </xf>
    <xf numFmtId="0" fontId="73" fillId="0" borderId="0" xfId="63" applyFont="1" applyBorder="1" applyAlignment="1">
      <alignment vertical="top" wrapText="1"/>
      <protection/>
    </xf>
    <xf numFmtId="0" fontId="55" fillId="0" borderId="0" xfId="63" applyFont="1" applyBorder="1">
      <alignment/>
      <protection/>
    </xf>
    <xf numFmtId="0" fontId="55" fillId="0" borderId="0" xfId="63" applyFont="1">
      <alignment/>
      <protection/>
    </xf>
    <xf numFmtId="0" fontId="73" fillId="0" borderId="0" xfId="63" applyFont="1" applyAlignment="1">
      <alignment vertical="top" wrapText="1"/>
      <protection/>
    </xf>
    <xf numFmtId="0" fontId="73" fillId="0" borderId="0" xfId="63" applyFont="1" applyBorder="1">
      <alignment/>
      <protection/>
    </xf>
    <xf numFmtId="0" fontId="55" fillId="0" borderId="0" xfId="63" applyFont="1" applyAlignment="1">
      <alignment vertical="top" wrapText="1"/>
      <protection/>
    </xf>
    <xf numFmtId="0" fontId="55" fillId="0" borderId="0" xfId="63" applyFont="1" applyBorder="1" applyAlignment="1">
      <alignment horizontal="center"/>
      <protection/>
    </xf>
    <xf numFmtId="0" fontId="73" fillId="0" borderId="0" xfId="63" applyFont="1" applyBorder="1" applyAlignment="1">
      <alignment horizontal="center"/>
      <protection/>
    </xf>
    <xf numFmtId="0" fontId="55" fillId="0" borderId="0" xfId="63" applyFont="1" applyBorder="1" applyAlignment="1">
      <alignment horizontal="right"/>
      <protection/>
    </xf>
    <xf numFmtId="3" fontId="73" fillId="0" borderId="0" xfId="63" applyNumberFormat="1" applyFont="1" applyBorder="1">
      <alignment/>
      <protection/>
    </xf>
    <xf numFmtId="1" fontId="73" fillId="0" borderId="0" xfId="63" applyNumberFormat="1" applyFont="1" applyBorder="1">
      <alignment/>
      <protection/>
    </xf>
    <xf numFmtId="1" fontId="55" fillId="0" borderId="0" xfId="63" applyNumberFormat="1" applyFont="1" applyBorder="1">
      <alignment/>
      <protection/>
    </xf>
    <xf numFmtId="0" fontId="73" fillId="0" borderId="0" xfId="63" applyFont="1" applyBorder="1" applyAlignment="1">
      <alignment horizontal="center" vertical="top" wrapText="1"/>
      <protection/>
    </xf>
    <xf numFmtId="0" fontId="73" fillId="0" borderId="0" xfId="63" applyFont="1" applyAlignment="1">
      <alignment horizontal="center" vertical="top" wrapText="1"/>
      <protection/>
    </xf>
    <xf numFmtId="0" fontId="55" fillId="0" borderId="0" xfId="63" applyFont="1" applyAlignment="1">
      <alignment horizontal="center" vertical="top" wrapText="1"/>
      <protection/>
    </xf>
    <xf numFmtId="3" fontId="73" fillId="0" borderId="0" xfId="63" applyNumberFormat="1" applyFont="1" applyAlignment="1">
      <alignment horizontal="center"/>
      <protection/>
    </xf>
    <xf numFmtId="0" fontId="73" fillId="0" borderId="0" xfId="63" applyFont="1" applyAlignment="1">
      <alignment horizontal="center"/>
      <protection/>
    </xf>
    <xf numFmtId="0" fontId="73" fillId="0" borderId="0" xfId="63" applyFont="1" applyFill="1" applyBorder="1" applyAlignment="1">
      <alignment vertical="top" wrapText="1"/>
      <protection/>
    </xf>
    <xf numFmtId="0" fontId="55" fillId="0" borderId="0" xfId="63" applyFont="1" applyFill="1" applyBorder="1" applyAlignment="1">
      <alignment vertical="top" wrapText="1"/>
      <protection/>
    </xf>
    <xf numFmtId="0" fontId="74" fillId="0" borderId="0" xfId="63" applyFont="1" applyBorder="1">
      <alignment/>
      <protection/>
    </xf>
    <xf numFmtId="3" fontId="73" fillId="0" borderId="0" xfId="63" applyNumberFormat="1" applyFont="1" applyBorder="1" applyAlignment="1">
      <alignment horizontal="center"/>
      <protection/>
    </xf>
    <xf numFmtId="0" fontId="73" fillId="0" borderId="0" xfId="63" applyFont="1" applyFill="1" applyAlignment="1">
      <alignment vertical="top" wrapText="1"/>
      <protection/>
    </xf>
    <xf numFmtId="0" fontId="51" fillId="0" borderId="0" xfId="0" applyFont="1" applyBorder="1" applyAlignment="1">
      <alignment horizontal="center"/>
    </xf>
    <xf numFmtId="0" fontId="73" fillId="0" borderId="0" xfId="63" applyFont="1" applyBorder="1" applyAlignment="1">
      <alignment/>
      <protection/>
    </xf>
    <xf numFmtId="0" fontId="51" fillId="0" borderId="0" xfId="0" applyFont="1" applyBorder="1" applyAlignment="1">
      <alignment/>
    </xf>
    <xf numFmtId="0" fontId="52" fillId="0" borderId="0" xfId="0" applyFont="1" applyBorder="1" applyAlignment="1">
      <alignment horizontal="right" wrapText="1"/>
    </xf>
    <xf numFmtId="165" fontId="51" fillId="0" borderId="0" xfId="0" applyNumberFormat="1" applyFont="1" applyBorder="1" applyAlignment="1">
      <alignment/>
    </xf>
    <xf numFmtId="0" fontId="55" fillId="0" borderId="0" xfId="63" applyFont="1" applyBorder="1" applyAlignment="1">
      <alignment horizontal="right" wrapText="1"/>
      <protection/>
    </xf>
    <xf numFmtId="0" fontId="55" fillId="0" borderId="36" xfId="63" applyFont="1" applyBorder="1" applyAlignment="1">
      <alignment horizontal="right"/>
      <protection/>
    </xf>
    <xf numFmtId="0" fontId="55" fillId="0" borderId="36" xfId="63" applyFont="1" applyBorder="1" applyAlignment="1">
      <alignment horizontal="right" wrapText="1"/>
      <protection/>
    </xf>
    <xf numFmtId="0" fontId="55" fillId="0" borderId="0" xfId="63" applyFont="1" applyBorder="1" applyAlignment="1">
      <alignment/>
      <protection/>
    </xf>
    <xf numFmtId="0" fontId="51" fillId="0" borderId="0" xfId="0" applyFont="1" applyFill="1" applyBorder="1" applyAlignment="1" quotePrefix="1">
      <alignment horizontal="left"/>
    </xf>
    <xf numFmtId="1" fontId="73" fillId="0" borderId="0" xfId="63" applyNumberFormat="1" applyFont="1" applyBorder="1" applyAlignment="1">
      <alignment horizontal="left" vertical="top" indent="1" shrinkToFit="1"/>
      <protection/>
    </xf>
    <xf numFmtId="1" fontId="73" fillId="0" borderId="0" xfId="63" applyNumberFormat="1" applyFont="1" applyBorder="1" applyAlignment="1">
      <alignment horizontal="left" vertical="top" indent="2" shrinkToFit="1"/>
      <protection/>
    </xf>
    <xf numFmtId="3" fontId="55" fillId="0" borderId="0" xfId="63" applyNumberFormat="1" applyFont="1" applyBorder="1" applyAlignment="1">
      <alignment horizontal="center"/>
      <protection/>
    </xf>
    <xf numFmtId="0" fontId="55" fillId="21" borderId="0" xfId="63" applyFont="1" applyFill="1" applyBorder="1" applyAlignment="1">
      <alignment horizontal="center"/>
      <protection/>
    </xf>
    <xf numFmtId="0" fontId="55" fillId="21" borderId="0" xfId="63" applyFont="1" applyFill="1" applyBorder="1" applyAlignment="1">
      <alignment horizontal="right"/>
      <protection/>
    </xf>
    <xf numFmtId="1" fontId="73" fillId="21" borderId="0" xfId="63" applyNumberFormat="1" applyFont="1" applyFill="1" applyBorder="1">
      <alignment/>
      <protection/>
    </xf>
    <xf numFmtId="1" fontId="55" fillId="21" borderId="0" xfId="63" applyNumberFormat="1" applyFont="1" applyFill="1" applyBorder="1">
      <alignment/>
      <protection/>
    </xf>
    <xf numFmtId="0" fontId="55" fillId="0" borderId="36" xfId="63" applyFont="1" applyBorder="1" applyAlignment="1" quotePrefix="1">
      <alignment horizontal="right" wrapText="1"/>
      <protection/>
    </xf>
    <xf numFmtId="0" fontId="55" fillId="0" borderId="36" xfId="63" applyFont="1" applyBorder="1" applyAlignment="1" quotePrefix="1">
      <alignment horizontal="right"/>
      <protection/>
    </xf>
    <xf numFmtId="0" fontId="77" fillId="0" borderId="0" xfId="63" applyFont="1" applyBorder="1" applyAlignment="1" quotePrefix="1">
      <alignment horizontal="left"/>
      <protection/>
    </xf>
    <xf numFmtId="0" fontId="77" fillId="0" borderId="0" xfId="63" applyFont="1" applyBorder="1" applyAlignment="1">
      <alignment horizontal="left"/>
      <protection/>
    </xf>
    <xf numFmtId="0" fontId="77" fillId="0" borderId="0" xfId="63" applyFont="1" applyBorder="1">
      <alignment/>
      <protection/>
    </xf>
    <xf numFmtId="43" fontId="73" fillId="0" borderId="0" xfId="42" applyFont="1" applyBorder="1" applyAlignment="1">
      <alignment horizontal="left" vertical="top" indent="2" shrinkToFit="1"/>
    </xf>
    <xf numFmtId="43" fontId="73" fillId="0" borderId="0" xfId="42" applyFont="1" applyBorder="1" applyAlignment="1">
      <alignment/>
    </xf>
    <xf numFmtId="43" fontId="55" fillId="0" borderId="0" xfId="42" applyFont="1" applyBorder="1" applyAlignment="1">
      <alignment/>
    </xf>
    <xf numFmtId="43" fontId="55" fillId="0" borderId="37" xfId="42" applyFont="1" applyFill="1" applyBorder="1" applyAlignment="1">
      <alignment/>
    </xf>
    <xf numFmtId="1" fontId="55" fillId="0" borderId="37" xfId="63" applyNumberFormat="1" applyFont="1" applyFill="1" applyBorder="1">
      <alignment/>
      <protection/>
    </xf>
    <xf numFmtId="165" fontId="73" fillId="0" borderId="0" xfId="42" applyNumberFormat="1" applyFont="1" applyBorder="1" applyAlignment="1">
      <alignment horizontal="right"/>
    </xf>
    <xf numFmtId="165" fontId="73" fillId="0" borderId="0" xfId="42" applyNumberFormat="1" applyFont="1" applyAlignment="1">
      <alignment horizontal="right"/>
    </xf>
    <xf numFmtId="165" fontId="55" fillId="0" borderId="0" xfId="42" applyNumberFormat="1" applyFont="1" applyBorder="1" applyAlignment="1">
      <alignment horizontal="center"/>
    </xf>
    <xf numFmtId="165" fontId="55" fillId="0" borderId="0" xfId="42" applyNumberFormat="1" applyFont="1" applyBorder="1" applyAlignment="1">
      <alignment horizontal="right"/>
    </xf>
    <xf numFmtId="165" fontId="51" fillId="0" borderId="36" xfId="42" applyNumberFormat="1" applyFont="1" applyFill="1" applyBorder="1" applyAlignment="1" quotePrefix="1">
      <alignment horizontal="right"/>
    </xf>
    <xf numFmtId="165" fontId="55" fillId="0" borderId="0" xfId="42" applyNumberFormat="1" applyFont="1" applyAlignment="1">
      <alignment/>
    </xf>
    <xf numFmtId="165" fontId="55" fillId="0" borderId="0" xfId="42" applyNumberFormat="1" applyFont="1" applyBorder="1" applyAlignment="1">
      <alignment/>
    </xf>
    <xf numFmtId="165" fontId="73" fillId="0" borderId="0" xfId="42" applyNumberFormat="1" applyFont="1" applyAlignment="1">
      <alignment/>
    </xf>
    <xf numFmtId="165" fontId="73" fillId="0" borderId="0" xfId="42" applyNumberFormat="1" applyFont="1" applyBorder="1" applyAlignment="1">
      <alignment/>
    </xf>
    <xf numFmtId="165" fontId="73" fillId="0" borderId="37" xfId="42" applyNumberFormat="1" applyFont="1" applyBorder="1" applyAlignment="1">
      <alignment/>
    </xf>
    <xf numFmtId="165" fontId="55" fillId="0" borderId="37" xfId="42" applyNumberFormat="1" applyFont="1" applyBorder="1" applyAlignment="1">
      <alignment horizontal="right"/>
    </xf>
    <xf numFmtId="165" fontId="51" fillId="0" borderId="37" xfId="42" applyNumberFormat="1" applyFont="1" applyFill="1" applyBorder="1" applyAlignment="1">
      <alignment horizontal="center"/>
    </xf>
    <xf numFmtId="165" fontId="51" fillId="0" borderId="0" xfId="42" applyNumberFormat="1" applyFont="1" applyFill="1" applyAlignment="1">
      <alignment horizontal="center"/>
    </xf>
    <xf numFmtId="165" fontId="55" fillId="0" borderId="10" xfId="42" applyNumberFormat="1" applyFont="1" applyBorder="1" applyAlignment="1">
      <alignment/>
    </xf>
    <xf numFmtId="0" fontId="55" fillId="0" borderId="0" xfId="63" applyFont="1" applyBorder="1" applyAlignment="1">
      <alignment horizontal="left"/>
      <protection/>
    </xf>
    <xf numFmtId="0" fontId="73" fillId="0" borderId="0" xfId="0" applyFont="1" applyAlignment="1">
      <alignment/>
    </xf>
    <xf numFmtId="0" fontId="52" fillId="0" borderId="0" xfId="0" applyFont="1" applyAlignment="1">
      <alignment horizontal="center"/>
    </xf>
    <xf numFmtId="0" fontId="73" fillId="0" borderId="0" xfId="0" applyFont="1" applyAlignment="1">
      <alignment vertical="top" wrapText="1"/>
    </xf>
    <xf numFmtId="0" fontId="52" fillId="0" borderId="0" xfId="0" applyFont="1" applyAlignment="1">
      <alignment wrapText="1"/>
    </xf>
    <xf numFmtId="0" fontId="52" fillId="0" borderId="0" xfId="0" applyFont="1" applyAlignment="1">
      <alignment/>
    </xf>
    <xf numFmtId="0" fontId="52" fillId="0" borderId="11" xfId="0" applyFont="1" applyBorder="1" applyAlignment="1">
      <alignment horizontal="center" wrapText="1"/>
    </xf>
    <xf numFmtId="0" fontId="52" fillId="0" borderId="0" xfId="0" applyFont="1" applyAlignment="1">
      <alignment horizontal="center" vertical="top"/>
    </xf>
    <xf numFmtId="0" fontId="52" fillId="0" borderId="11" xfId="0" applyFont="1" applyBorder="1" applyAlignment="1">
      <alignment/>
    </xf>
    <xf numFmtId="0" fontId="52" fillId="0" borderId="0" xfId="0" applyFont="1" applyBorder="1" applyAlignment="1">
      <alignment wrapText="1"/>
    </xf>
    <xf numFmtId="0" fontId="73" fillId="0" borderId="38" xfId="0" applyFont="1" applyBorder="1" applyAlignment="1">
      <alignment horizontal="justify" vertical="top" wrapText="1"/>
    </xf>
    <xf numFmtId="0" fontId="73" fillId="0" borderId="0" xfId="0" applyFont="1" applyBorder="1" applyAlignment="1">
      <alignment horizontal="justify" vertical="top" wrapText="1"/>
    </xf>
    <xf numFmtId="0" fontId="73" fillId="0" borderId="0" xfId="0" applyFont="1" applyBorder="1" applyAlignment="1">
      <alignment horizontal="center" vertical="top" wrapText="1"/>
    </xf>
    <xf numFmtId="0" fontId="73" fillId="0" borderId="26" xfId="0" applyFont="1" applyBorder="1" applyAlignment="1">
      <alignment horizontal="justify" vertical="top" wrapText="1"/>
    </xf>
    <xf numFmtId="0" fontId="55" fillId="0" borderId="0" xfId="0" applyFont="1" applyAlignment="1">
      <alignment/>
    </xf>
    <xf numFmtId="0" fontId="55" fillId="0" borderId="0" xfId="0" applyFont="1" applyAlignment="1">
      <alignment/>
    </xf>
    <xf numFmtId="0" fontId="76" fillId="0" borderId="0" xfId="0" applyFont="1" applyAlignment="1">
      <alignment wrapText="1"/>
    </xf>
    <xf numFmtId="0" fontId="76" fillId="0" borderId="11" xfId="0" applyFont="1" applyBorder="1" applyAlignment="1">
      <alignment vertical="top"/>
    </xf>
    <xf numFmtId="0" fontId="73" fillId="0" borderId="0" xfId="0" applyFont="1" applyAlignment="1">
      <alignment horizontal="left" indent="15"/>
    </xf>
    <xf numFmtId="0" fontId="73" fillId="0" borderId="39" xfId="0" applyFont="1" applyBorder="1" applyAlignment="1">
      <alignment horizontal="center" vertical="top" wrapText="1"/>
    </xf>
    <xf numFmtId="0" fontId="52" fillId="0" borderId="0" xfId="0" applyFont="1" applyBorder="1" applyAlignment="1">
      <alignment horizontal="center" vertical="top"/>
    </xf>
    <xf numFmtId="0" fontId="73" fillId="0" borderId="25" xfId="0" applyFont="1" applyBorder="1" applyAlignment="1">
      <alignment horizontal="left" wrapText="1"/>
    </xf>
    <xf numFmtId="0" fontId="73" fillId="0" borderId="21" xfId="0" applyFont="1" applyBorder="1" applyAlignment="1">
      <alignment vertical="top" wrapText="1"/>
    </xf>
    <xf numFmtId="0" fontId="73" fillId="0" borderId="25" xfId="0" applyFont="1" applyBorder="1" applyAlignment="1">
      <alignment horizontal="left"/>
    </xf>
    <xf numFmtId="0" fontId="73" fillId="0" borderId="0" xfId="0" applyFont="1" applyAlignment="1">
      <alignment horizontal="left" vertical="top" wrapText="1"/>
    </xf>
    <xf numFmtId="0" fontId="77" fillId="0" borderId="0" xfId="0" applyFont="1" applyAlignment="1">
      <alignment/>
    </xf>
    <xf numFmtId="0" fontId="55" fillId="0" borderId="0" xfId="0" applyFont="1" applyAlignment="1">
      <alignment horizontal="left"/>
    </xf>
    <xf numFmtId="0" fontId="51" fillId="0" borderId="0" xfId="0" applyFont="1" applyAlignment="1">
      <alignment horizontal="left"/>
    </xf>
    <xf numFmtId="0" fontId="79" fillId="0" borderId="0" xfId="0" applyFont="1" applyAlignment="1">
      <alignment/>
    </xf>
    <xf numFmtId="0" fontId="79" fillId="0" borderId="40" xfId="0" applyFont="1" applyBorder="1" applyAlignment="1">
      <alignment/>
    </xf>
    <xf numFmtId="0" fontId="52" fillId="0" borderId="40" xfId="0" applyFont="1" applyBorder="1" applyAlignment="1">
      <alignment/>
    </xf>
    <xf numFmtId="0" fontId="52" fillId="0" borderId="41" xfId="0" applyFont="1" applyBorder="1" applyAlignment="1">
      <alignment/>
    </xf>
    <xf numFmtId="165" fontId="52" fillId="0" borderId="11" xfId="42" applyNumberFormat="1" applyFont="1" applyBorder="1" applyAlignment="1">
      <alignment/>
    </xf>
    <xf numFmtId="165" fontId="52" fillId="0" borderId="42" xfId="42" applyNumberFormat="1" applyFont="1" applyBorder="1" applyAlignment="1">
      <alignment/>
    </xf>
    <xf numFmtId="165" fontId="52" fillId="0" borderId="43" xfId="42" applyNumberFormat="1" applyFont="1" applyBorder="1" applyAlignment="1">
      <alignment/>
    </xf>
    <xf numFmtId="0" fontId="80" fillId="0" borderId="0" xfId="0" applyFont="1" applyAlignment="1">
      <alignment/>
    </xf>
    <xf numFmtId="0" fontId="80" fillId="0" borderId="44" xfId="0" applyFont="1" applyBorder="1" applyAlignment="1">
      <alignment horizontal="center" wrapText="1"/>
    </xf>
    <xf numFmtId="0" fontId="80" fillId="0" borderId="0" xfId="0" applyFont="1" applyAlignment="1">
      <alignment wrapText="1"/>
    </xf>
    <xf numFmtId="0" fontId="80" fillId="0" borderId="21" xfId="0" applyFont="1" applyBorder="1" applyAlignment="1">
      <alignment horizontal="center" wrapText="1"/>
    </xf>
    <xf numFmtId="0" fontId="80" fillId="0" borderId="20" xfId="0" applyFont="1" applyBorder="1" applyAlignment="1">
      <alignment horizontal="center" wrapText="1"/>
    </xf>
    <xf numFmtId="0" fontId="80" fillId="0" borderId="23" xfId="0" applyFont="1" applyBorder="1" applyAlignment="1">
      <alignment horizontal="right" wrapText="1"/>
    </xf>
    <xf numFmtId="0" fontId="80" fillId="0" borderId="0" xfId="0" applyFont="1" applyAlignment="1">
      <alignment horizontal="right" wrapText="1"/>
    </xf>
    <xf numFmtId="0" fontId="80" fillId="0" borderId="44" xfId="0" applyFont="1" applyBorder="1" applyAlignment="1">
      <alignment horizontal="right"/>
    </xf>
    <xf numFmtId="0" fontId="51" fillId="0" borderId="45" xfId="0" applyFont="1" applyBorder="1" applyAlignment="1">
      <alignment/>
    </xf>
    <xf numFmtId="0" fontId="52" fillId="0" borderId="46" xfId="0" applyFont="1" applyBorder="1" applyAlignment="1">
      <alignment/>
    </xf>
    <xf numFmtId="0" fontId="51" fillId="0" borderId="47" xfId="0" applyFont="1" applyBorder="1" applyAlignment="1">
      <alignment/>
    </xf>
    <xf numFmtId="0" fontId="52" fillId="0" borderId="48" xfId="0" applyFont="1" applyBorder="1" applyAlignment="1">
      <alignment/>
    </xf>
    <xf numFmtId="0" fontId="52" fillId="0" borderId="49" xfId="0" applyFont="1" applyBorder="1" applyAlignment="1">
      <alignment/>
    </xf>
    <xf numFmtId="0" fontId="52" fillId="0" borderId="19" xfId="0" applyFont="1" applyBorder="1" applyAlignment="1">
      <alignment/>
    </xf>
    <xf numFmtId="0" fontId="51" fillId="0" borderId="50" xfId="0" applyFont="1" applyBorder="1" applyAlignment="1">
      <alignment/>
    </xf>
    <xf numFmtId="0" fontId="51" fillId="0" borderId="51" xfId="0" applyFont="1" applyBorder="1" applyAlignment="1">
      <alignment/>
    </xf>
    <xf numFmtId="0" fontId="51" fillId="0" borderId="41" xfId="0" applyFont="1" applyBorder="1" applyAlignment="1">
      <alignment horizontal="center"/>
    </xf>
    <xf numFmtId="0" fontId="51" fillId="0" borderId="42" xfId="0" applyFont="1" applyBorder="1" applyAlignment="1">
      <alignment horizontal="center"/>
    </xf>
    <xf numFmtId="0" fontId="81" fillId="0" borderId="0" xfId="0" applyFont="1" applyAlignment="1">
      <alignment/>
    </xf>
    <xf numFmtId="0" fontId="79" fillId="0" borderId="49" xfId="0" applyFont="1" applyBorder="1" applyAlignment="1">
      <alignment/>
    </xf>
    <xf numFmtId="165" fontId="52" fillId="0" borderId="19" xfId="42" applyNumberFormat="1" applyFont="1" applyBorder="1" applyAlignment="1">
      <alignment/>
    </xf>
    <xf numFmtId="165" fontId="52" fillId="0" borderId="52" xfId="42" applyNumberFormat="1" applyFont="1" applyBorder="1" applyAlignment="1">
      <alignment/>
    </xf>
    <xf numFmtId="0" fontId="80" fillId="0" borderId="53" xfId="0" applyFont="1" applyBorder="1" applyAlignment="1">
      <alignment/>
    </xf>
    <xf numFmtId="0" fontId="80" fillId="0" borderId="54" xfId="0" applyFont="1" applyBorder="1" applyAlignment="1">
      <alignment horizontal="right"/>
    </xf>
    <xf numFmtId="0" fontId="80" fillId="0" borderId="55" xfId="0" applyFont="1" applyBorder="1" applyAlignment="1">
      <alignment/>
    </xf>
    <xf numFmtId="165" fontId="73" fillId="0" borderId="0" xfId="42" applyNumberFormat="1" applyFont="1" applyBorder="1" applyAlignment="1">
      <alignment horizontal="center"/>
    </xf>
    <xf numFmtId="165" fontId="55" fillId="0" borderId="10" xfId="42" applyNumberFormat="1" applyFont="1" applyBorder="1" applyAlignment="1">
      <alignment horizontal="center"/>
    </xf>
    <xf numFmtId="0" fontId="52" fillId="0" borderId="11" xfId="0" applyFont="1" applyFill="1" applyBorder="1" applyAlignment="1">
      <alignment/>
    </xf>
    <xf numFmtId="165" fontId="51" fillId="0" borderId="37" xfId="42" applyNumberFormat="1" applyFont="1" applyFill="1" applyBorder="1" applyAlignment="1">
      <alignment/>
    </xf>
    <xf numFmtId="165" fontId="51" fillId="0" borderId="36" xfId="42" applyNumberFormat="1" applyFont="1" applyFill="1" applyBorder="1" applyAlignment="1">
      <alignment horizontal="right"/>
    </xf>
    <xf numFmtId="165" fontId="52" fillId="0" borderId="11" xfId="42" applyNumberFormat="1" applyFont="1" applyFill="1" applyBorder="1" applyAlignment="1">
      <alignment/>
    </xf>
    <xf numFmtId="0" fontId="78" fillId="0" borderId="11" xfId="63" applyFont="1" applyBorder="1" applyAlignment="1">
      <alignment horizontal="left"/>
      <protection/>
    </xf>
    <xf numFmtId="0" fontId="73" fillId="0" borderId="11" xfId="63" applyFont="1" applyBorder="1">
      <alignment/>
      <protection/>
    </xf>
    <xf numFmtId="0" fontId="75" fillId="0" borderId="11" xfId="63" applyFont="1" applyBorder="1">
      <alignment/>
      <protection/>
    </xf>
    <xf numFmtId="0" fontId="78" fillId="0" borderId="11" xfId="63" applyFont="1" applyBorder="1">
      <alignment/>
      <protection/>
    </xf>
    <xf numFmtId="0" fontId="51" fillId="0" borderId="56" xfId="0" applyFont="1" applyFill="1" applyBorder="1" applyAlignment="1">
      <alignment/>
    </xf>
    <xf numFmtId="0" fontId="51" fillId="0" borderId="57" xfId="0" applyFont="1" applyFill="1" applyBorder="1" applyAlignment="1">
      <alignment/>
    </xf>
    <xf numFmtId="0" fontId="51" fillId="0" borderId="58" xfId="0" applyFont="1" applyFill="1" applyBorder="1" applyAlignment="1">
      <alignment/>
    </xf>
    <xf numFmtId="0" fontId="52" fillId="0" borderId="40" xfId="0" applyFont="1" applyFill="1" applyBorder="1" applyAlignment="1">
      <alignment/>
    </xf>
    <xf numFmtId="0" fontId="52" fillId="0" borderId="43" xfId="0" applyFont="1" applyFill="1" applyBorder="1" applyAlignment="1">
      <alignment/>
    </xf>
    <xf numFmtId="0" fontId="78" fillId="0" borderId="43" xfId="63" applyFont="1" applyBorder="1" applyAlignment="1">
      <alignment horizontal="left"/>
      <protection/>
    </xf>
    <xf numFmtId="0" fontId="73" fillId="0" borderId="43" xfId="63" applyFont="1" applyBorder="1">
      <alignment/>
      <protection/>
    </xf>
    <xf numFmtId="0" fontId="75" fillId="0" borderId="43" xfId="63" applyFont="1" applyBorder="1">
      <alignment/>
      <protection/>
    </xf>
    <xf numFmtId="0" fontId="78" fillId="0" borderId="43" xfId="63" applyFont="1" applyBorder="1">
      <alignment/>
      <protection/>
    </xf>
    <xf numFmtId="0" fontId="51" fillId="21" borderId="57" xfId="0" applyFont="1" applyFill="1" applyBorder="1" applyAlignment="1">
      <alignment/>
    </xf>
    <xf numFmtId="0" fontId="52" fillId="21" borderId="11" xfId="0" applyFont="1" applyFill="1" applyBorder="1" applyAlignment="1">
      <alignment/>
    </xf>
    <xf numFmtId="0" fontId="78" fillId="21" borderId="11" xfId="63" applyFont="1" applyFill="1" applyBorder="1" applyAlignment="1">
      <alignment horizontal="left"/>
      <protection/>
    </xf>
    <xf numFmtId="0" fontId="73" fillId="21" borderId="11" xfId="63" applyFont="1" applyFill="1" applyBorder="1">
      <alignment/>
      <protection/>
    </xf>
    <xf numFmtId="0" fontId="75" fillId="21" borderId="11" xfId="63" applyFont="1" applyFill="1" applyBorder="1">
      <alignment/>
      <protection/>
    </xf>
    <xf numFmtId="0" fontId="78" fillId="21" borderId="11" xfId="63" applyFont="1" applyFill="1" applyBorder="1">
      <alignment/>
      <protection/>
    </xf>
    <xf numFmtId="0" fontId="73" fillId="0" borderId="0" xfId="63" applyFont="1" applyFill="1" applyBorder="1">
      <alignment/>
      <protection/>
    </xf>
    <xf numFmtId="165" fontId="73" fillId="0" borderId="0" xfId="42" applyNumberFormat="1" applyFont="1" applyFill="1" applyBorder="1" applyAlignment="1">
      <alignment horizontal="center"/>
    </xf>
    <xf numFmtId="43" fontId="73" fillId="0" borderId="0" xfId="63" applyNumberFormat="1" applyFont="1" applyBorder="1">
      <alignment/>
      <protection/>
    </xf>
    <xf numFmtId="0" fontId="84" fillId="0" borderId="0" xfId="0" applyFont="1" applyAlignment="1">
      <alignment/>
    </xf>
    <xf numFmtId="0" fontId="54" fillId="0" borderId="0" xfId="0" applyFont="1" applyAlignment="1">
      <alignment/>
    </xf>
    <xf numFmtId="0" fontId="73" fillId="0" borderId="23" xfId="0" applyFont="1" applyBorder="1" applyAlignment="1">
      <alignment vertical="top" wrapText="1"/>
    </xf>
    <xf numFmtId="0" fontId="73" fillId="0" borderId="59" xfId="0" applyFont="1" applyBorder="1" applyAlignment="1">
      <alignment horizontal="center" vertical="top" wrapText="1"/>
    </xf>
    <xf numFmtId="0" fontId="55" fillId="0" borderId="60" xfId="0" applyFont="1" applyBorder="1" applyAlignment="1">
      <alignment horizontal="justify" vertical="top" wrapText="1"/>
    </xf>
    <xf numFmtId="0" fontId="73" fillId="0" borderId="10" xfId="0" applyFont="1" applyBorder="1" applyAlignment="1">
      <alignment horizontal="justify" vertical="top" wrapText="1"/>
    </xf>
    <xf numFmtId="0" fontId="73" fillId="0" borderId="46" xfId="0" applyFont="1" applyBorder="1" applyAlignment="1">
      <alignment horizontal="justify" vertical="top" wrapText="1"/>
    </xf>
    <xf numFmtId="0" fontId="51" fillId="0" borderId="0" xfId="0" applyFont="1" applyAlignment="1">
      <alignment wrapText="1"/>
    </xf>
    <xf numFmtId="0" fontId="73" fillId="0" borderId="11" xfId="63" applyFont="1" applyBorder="1" applyAlignment="1">
      <alignment horizontal="left"/>
      <protection/>
    </xf>
    <xf numFmtId="0" fontId="54" fillId="0" borderId="0" xfId="0" applyFont="1" applyBorder="1" applyAlignment="1">
      <alignment horizontal="justify" vertical="top" wrapText="1"/>
    </xf>
    <xf numFmtId="0" fontId="54" fillId="0" borderId="0" xfId="0" applyFont="1" applyBorder="1" applyAlignment="1">
      <alignment/>
    </xf>
    <xf numFmtId="3" fontId="54" fillId="0" borderId="0" xfId="0" applyNumberFormat="1" applyFont="1" applyBorder="1" applyAlignment="1">
      <alignment horizontal="right" vertical="top" wrapText="1"/>
    </xf>
    <xf numFmtId="0" fontId="54" fillId="0" borderId="0" xfId="0" applyFont="1" applyBorder="1" applyAlignment="1">
      <alignment horizontal="right" vertical="top" wrapText="1"/>
    </xf>
    <xf numFmtId="0" fontId="83" fillId="0" borderId="0" xfId="0" applyFont="1" applyBorder="1" applyAlignment="1">
      <alignment horizontal="justify" vertical="top" wrapText="1"/>
    </xf>
    <xf numFmtId="0" fontId="73" fillId="0" borderId="0" xfId="0" applyFont="1" applyBorder="1" applyAlignment="1">
      <alignment vertical="top" wrapText="1"/>
    </xf>
    <xf numFmtId="0" fontId="73" fillId="0" borderId="0" xfId="0" applyFont="1" applyBorder="1" applyAlignment="1">
      <alignment/>
    </xf>
    <xf numFmtId="165" fontId="82" fillId="0" borderId="0" xfId="42" applyNumberFormat="1" applyFont="1" applyFill="1" applyBorder="1" applyAlignment="1">
      <alignment/>
    </xf>
    <xf numFmtId="165" fontId="73" fillId="0" borderId="0" xfId="63" applyNumberFormat="1" applyFont="1" applyBorder="1">
      <alignment/>
      <protection/>
    </xf>
    <xf numFmtId="43" fontId="55" fillId="0" borderId="0" xfId="63" applyNumberFormat="1" applyFont="1" applyBorder="1">
      <alignment/>
      <protection/>
    </xf>
    <xf numFmtId="165" fontId="55" fillId="0" borderId="0" xfId="63" applyNumberFormat="1" applyFont="1" applyBorder="1" applyAlignment="1">
      <alignment vertical="top" wrapText="1"/>
      <protection/>
    </xf>
    <xf numFmtId="165" fontId="52" fillId="0" borderId="0" xfId="0" applyNumberFormat="1" applyFont="1" applyBorder="1" applyAlignment="1">
      <alignment/>
    </xf>
    <xf numFmtId="43" fontId="73" fillId="0" borderId="0" xfId="42" applyFont="1" applyBorder="1" applyAlignment="1">
      <alignment horizontal="center"/>
    </xf>
    <xf numFmtId="43" fontId="87" fillId="0" borderId="0" xfId="62" applyNumberFormat="1" applyFont="1" applyFill="1" applyBorder="1">
      <alignment/>
      <protection/>
    </xf>
    <xf numFmtId="43" fontId="82" fillId="0" borderId="0" xfId="42" applyFont="1" applyFill="1" applyBorder="1" applyAlignment="1">
      <alignment/>
    </xf>
    <xf numFmtId="43" fontId="86" fillId="0" borderId="0" xfId="42" applyFont="1" applyFill="1" applyBorder="1" applyAlignment="1">
      <alignment/>
    </xf>
    <xf numFmtId="165" fontId="73" fillId="0" borderId="38" xfId="42" applyNumberFormat="1" applyFont="1" applyBorder="1" applyAlignment="1">
      <alignment horizontal="justify" vertical="top" wrapText="1"/>
    </xf>
    <xf numFmtId="167" fontId="51" fillId="0" borderId="0" xfId="42" applyNumberFormat="1" applyFont="1" applyFill="1" applyBorder="1" applyAlignment="1">
      <alignment/>
    </xf>
    <xf numFmtId="172" fontId="52" fillId="0" borderId="0" xfId="42" applyNumberFormat="1" applyFont="1" applyFill="1" applyAlignment="1">
      <alignment/>
    </xf>
    <xf numFmtId="0" fontId="75" fillId="0" borderId="0" xfId="63" applyFont="1" applyBorder="1" applyAlignment="1">
      <alignment horizontal="left" indent="3"/>
      <protection/>
    </xf>
    <xf numFmtId="165" fontId="73" fillId="0" borderId="36" xfId="42" applyNumberFormat="1" applyFont="1" applyBorder="1" applyAlignment="1">
      <alignment horizontal="center"/>
    </xf>
    <xf numFmtId="165" fontId="52" fillId="0" borderId="0" xfId="42" applyNumberFormat="1" applyFont="1" applyBorder="1" applyAlignment="1">
      <alignment horizontal="center"/>
    </xf>
    <xf numFmtId="165" fontId="73" fillId="0" borderId="33" xfId="42" applyNumberFormat="1" applyFont="1" applyBorder="1" applyAlignment="1">
      <alignment horizontal="center"/>
    </xf>
    <xf numFmtId="165" fontId="1" fillId="0" borderId="0" xfId="42" applyNumberFormat="1" applyFont="1" applyFill="1" applyAlignment="1">
      <alignment/>
    </xf>
    <xf numFmtId="0" fontId="55" fillId="0" borderId="0" xfId="63" applyFont="1" applyFill="1" applyBorder="1" applyAlignment="1">
      <alignment horizontal="right"/>
      <protection/>
    </xf>
    <xf numFmtId="0" fontId="55" fillId="0" borderId="0" xfId="63" applyFont="1" applyFill="1" applyBorder="1" applyAlignment="1">
      <alignment horizontal="right" wrapText="1"/>
      <protection/>
    </xf>
    <xf numFmtId="0" fontId="55" fillId="0" borderId="0" xfId="63" applyFont="1" applyFill="1" applyAlignment="1">
      <alignment vertical="top" wrapText="1"/>
      <protection/>
    </xf>
    <xf numFmtId="165" fontId="73" fillId="0" borderId="0" xfId="42" applyNumberFormat="1" applyFont="1" applyFill="1" applyAlignment="1">
      <alignment horizontal="right"/>
    </xf>
    <xf numFmtId="43" fontId="90" fillId="0" borderId="0" xfId="42" applyFont="1" applyBorder="1" applyAlignment="1">
      <alignment horizontal="right"/>
    </xf>
    <xf numFmtId="43" fontId="55" fillId="0" borderId="0" xfId="63" applyNumberFormat="1" applyFont="1" applyBorder="1" applyAlignment="1">
      <alignment horizontal="right"/>
      <protection/>
    </xf>
    <xf numFmtId="0" fontId="55" fillId="0" borderId="0" xfId="63" applyFont="1" applyFill="1">
      <alignment/>
      <protection/>
    </xf>
    <xf numFmtId="0" fontId="73" fillId="0" borderId="0" xfId="63" applyFont="1" applyFill="1">
      <alignment/>
      <protection/>
    </xf>
    <xf numFmtId="0" fontId="73" fillId="0" borderId="0" xfId="63" applyFont="1" applyFill="1" applyBorder="1" applyAlignment="1">
      <alignment horizontal="right"/>
      <protection/>
    </xf>
    <xf numFmtId="3" fontId="73" fillId="0" borderId="0" xfId="63" applyNumberFormat="1" applyFont="1" applyFill="1">
      <alignment/>
      <protection/>
    </xf>
    <xf numFmtId="165" fontId="55" fillId="0" borderId="10" xfId="42" applyNumberFormat="1" applyFont="1" applyFill="1" applyBorder="1" applyAlignment="1">
      <alignment/>
    </xf>
    <xf numFmtId="0" fontId="55" fillId="0" borderId="0" xfId="63" applyFont="1" applyFill="1" applyBorder="1">
      <alignment/>
      <protection/>
    </xf>
    <xf numFmtId="0" fontId="73" fillId="0" borderId="0" xfId="63" applyFont="1" applyFill="1" applyAlignment="1">
      <alignment horizontal="center" vertical="top" wrapText="1"/>
      <protection/>
    </xf>
    <xf numFmtId="43" fontId="52" fillId="0" borderId="0" xfId="42" applyFont="1" applyFill="1" applyBorder="1" applyAlignment="1">
      <alignment/>
    </xf>
    <xf numFmtId="165" fontId="73" fillId="0" borderId="0" xfId="42" applyNumberFormat="1" applyFont="1" applyBorder="1" applyAlignment="1">
      <alignment horizontal="justify" vertical="top" wrapText="1"/>
    </xf>
    <xf numFmtId="0" fontId="55" fillId="0" borderId="29" xfId="0" applyFont="1" applyBorder="1" applyAlignment="1">
      <alignment horizontal="justify" vertical="top" wrapText="1"/>
    </xf>
    <xf numFmtId="0" fontId="73" fillId="0" borderId="36" xfId="0" applyFont="1" applyBorder="1" applyAlignment="1">
      <alignment horizontal="justify" vertical="top" wrapText="1"/>
    </xf>
    <xf numFmtId="0" fontId="73" fillId="0" borderId="48" xfId="0" applyFont="1" applyBorder="1" applyAlignment="1">
      <alignment horizontal="justify" vertical="top" wrapText="1"/>
    </xf>
    <xf numFmtId="165" fontId="55" fillId="0" borderId="0" xfId="42" applyNumberFormat="1" applyFont="1" applyFill="1" applyBorder="1" applyAlignment="1">
      <alignment horizontal="right"/>
    </xf>
    <xf numFmtId="0" fontId="82" fillId="0" borderId="0" xfId="0" applyFont="1" applyFill="1" applyAlignment="1">
      <alignment/>
    </xf>
    <xf numFmtId="43" fontId="52" fillId="0" borderId="0" xfId="0" applyNumberFormat="1" applyFont="1" applyBorder="1" applyAlignment="1">
      <alignment/>
    </xf>
    <xf numFmtId="169" fontId="52" fillId="0" borderId="0" xfId="0" applyNumberFormat="1" applyFont="1" applyBorder="1" applyAlignment="1">
      <alignment/>
    </xf>
    <xf numFmtId="0" fontId="73" fillId="0" borderId="44" xfId="0" applyFont="1" applyBorder="1" applyAlignment="1">
      <alignment horizontal="justify" vertical="top" wrapText="1"/>
    </xf>
    <xf numFmtId="0" fontId="73" fillId="0" borderId="61" xfId="0" applyFont="1" applyBorder="1" applyAlignment="1">
      <alignment horizontal="justify" vertical="top" wrapText="1"/>
    </xf>
    <xf numFmtId="165" fontId="73" fillId="0" borderId="61" xfId="42" applyNumberFormat="1" applyFont="1" applyBorder="1" applyAlignment="1">
      <alignment horizontal="justify" vertical="top" wrapText="1"/>
    </xf>
    <xf numFmtId="0" fontId="73" fillId="0" borderId="62" xfId="0" applyFont="1" applyBorder="1" applyAlignment="1">
      <alignment vertical="top" wrapText="1"/>
    </xf>
    <xf numFmtId="0" fontId="73" fillId="0" borderId="48" xfId="0" applyFont="1" applyBorder="1" applyAlignment="1">
      <alignment horizontal="center" vertical="top" wrapText="1"/>
    </xf>
    <xf numFmtId="165" fontId="52" fillId="0" borderId="11" xfId="42" applyNumberFormat="1" applyFont="1" applyBorder="1" applyAlignment="1">
      <alignment/>
    </xf>
    <xf numFmtId="0" fontId="73" fillId="0" borderId="11" xfId="63" applyFont="1" applyFill="1" applyBorder="1" applyAlignment="1">
      <alignment vertical="top" wrapText="1"/>
      <protection/>
    </xf>
    <xf numFmtId="43" fontId="91" fillId="0" borderId="0" xfId="42" applyFont="1" applyBorder="1" applyAlignment="1">
      <alignment horizontal="right"/>
    </xf>
    <xf numFmtId="165" fontId="52" fillId="27" borderId="0" xfId="42" applyNumberFormat="1" applyFont="1" applyFill="1" applyAlignment="1">
      <alignment horizontal="right"/>
    </xf>
    <xf numFmtId="0" fontId="51" fillId="27" borderId="0" xfId="0" applyFont="1" applyFill="1" applyAlignment="1">
      <alignment horizontal="left"/>
    </xf>
    <xf numFmtId="0" fontId="52" fillId="27" borderId="0" xfId="0" applyFont="1" applyFill="1" applyAlignment="1">
      <alignment/>
    </xf>
    <xf numFmtId="0" fontId="51" fillId="27" borderId="0" xfId="0" applyFont="1" applyFill="1" applyAlignment="1">
      <alignment/>
    </xf>
    <xf numFmtId="0" fontId="51" fillId="27" borderId="36" xfId="42" applyNumberFormat="1" applyFont="1" applyFill="1" applyBorder="1" applyAlignment="1" quotePrefix="1">
      <alignment horizontal="right"/>
    </xf>
    <xf numFmtId="0" fontId="51" fillId="27" borderId="0" xfId="42" applyNumberFormat="1" applyFont="1" applyFill="1" applyBorder="1" applyAlignment="1">
      <alignment horizontal="right"/>
    </xf>
    <xf numFmtId="0" fontId="51" fillId="27" borderId="0" xfId="0" applyFont="1" applyFill="1" applyBorder="1" applyAlignment="1">
      <alignment/>
    </xf>
    <xf numFmtId="165" fontId="51" fillId="27" borderId="0" xfId="42" applyNumberFormat="1" applyFont="1" applyFill="1" applyAlignment="1">
      <alignment horizontal="right"/>
    </xf>
    <xf numFmtId="165" fontId="51" fillId="27" borderId="0" xfId="42" applyNumberFormat="1" applyFont="1" applyFill="1" applyBorder="1" applyAlignment="1">
      <alignment horizontal="right"/>
    </xf>
    <xf numFmtId="165" fontId="52" fillId="27" borderId="0" xfId="42" applyNumberFormat="1" applyFont="1" applyFill="1" applyAlignment="1">
      <alignment/>
    </xf>
    <xf numFmtId="165" fontId="52" fillId="27" borderId="0" xfId="42" applyNumberFormat="1" applyFont="1" applyFill="1" applyBorder="1" applyAlignment="1">
      <alignment/>
    </xf>
    <xf numFmtId="165" fontId="52" fillId="27" borderId="0" xfId="0" applyNumberFormat="1" applyFont="1" applyFill="1" applyAlignment="1">
      <alignment/>
    </xf>
    <xf numFmtId="0" fontId="52" fillId="27" borderId="0" xfId="0" applyFont="1" applyFill="1" applyBorder="1" applyAlignment="1">
      <alignment/>
    </xf>
    <xf numFmtId="165" fontId="73" fillId="27" borderId="0" xfId="42" applyNumberFormat="1" applyFont="1" applyFill="1" applyBorder="1" applyAlignment="1">
      <alignment horizontal="right"/>
    </xf>
    <xf numFmtId="43" fontId="52" fillId="27" borderId="0" xfId="42" applyFont="1" applyFill="1" applyAlignment="1">
      <alignment/>
    </xf>
    <xf numFmtId="43" fontId="52" fillId="27" borderId="0" xfId="0" applyNumberFormat="1" applyFont="1" applyFill="1" applyAlignment="1">
      <alignment/>
    </xf>
    <xf numFmtId="165" fontId="51" fillId="27" borderId="0" xfId="42" applyNumberFormat="1" applyFont="1" applyFill="1" applyBorder="1" applyAlignment="1">
      <alignment/>
    </xf>
    <xf numFmtId="165" fontId="52" fillId="27" borderId="0" xfId="42" applyNumberFormat="1" applyFont="1" applyFill="1" applyAlignment="1">
      <alignment horizontal="center"/>
    </xf>
    <xf numFmtId="165" fontId="52" fillId="27" borderId="0" xfId="0" applyNumberFormat="1" applyFont="1" applyFill="1" applyBorder="1" applyAlignment="1">
      <alignment/>
    </xf>
    <xf numFmtId="165" fontId="55" fillId="0" borderId="36" xfId="42" applyNumberFormat="1" applyFont="1" applyBorder="1" applyAlignment="1">
      <alignment horizontal="center"/>
    </xf>
    <xf numFmtId="37" fontId="52" fillId="0" borderId="36" xfId="42" applyNumberFormat="1" applyFont="1" applyBorder="1" applyAlignment="1">
      <alignment/>
    </xf>
    <xf numFmtId="43" fontId="92" fillId="0" borderId="0" xfId="42" applyFont="1" applyBorder="1" applyAlignment="1">
      <alignment/>
    </xf>
    <xf numFmtId="0" fontId="73" fillId="27" borderId="0" xfId="63" applyFont="1" applyFill="1" applyAlignment="1">
      <alignment vertical="top" wrapText="1"/>
      <protection/>
    </xf>
    <xf numFmtId="43" fontId="93" fillId="0" borderId="0" xfId="42" applyFont="1" applyBorder="1" applyAlignment="1">
      <alignment/>
    </xf>
    <xf numFmtId="0" fontId="55" fillId="0" borderId="36" xfId="63" applyFont="1" applyBorder="1" applyAlignment="1">
      <alignment horizontal="center" wrapText="1"/>
      <protection/>
    </xf>
    <xf numFmtId="0" fontId="55" fillId="0" borderId="0" xfId="63" applyFont="1" applyBorder="1" applyAlignment="1">
      <alignment horizontal="center" wrapText="1"/>
      <protection/>
    </xf>
    <xf numFmtId="165" fontId="73" fillId="27" borderId="0" xfId="42" applyNumberFormat="1" applyFont="1" applyFill="1" applyAlignment="1">
      <alignment horizontal="right"/>
    </xf>
    <xf numFmtId="165" fontId="55" fillId="27" borderId="10" xfId="42" applyNumberFormat="1" applyFont="1" applyFill="1" applyBorder="1" applyAlignment="1">
      <alignment/>
    </xf>
    <xf numFmtId="0" fontId="73" fillId="27" borderId="0" xfId="63" applyFont="1" applyFill="1">
      <alignment/>
      <protection/>
    </xf>
    <xf numFmtId="0" fontId="55" fillId="27" borderId="0" xfId="63" applyFont="1" applyFill="1" applyBorder="1">
      <alignment/>
      <protection/>
    </xf>
    <xf numFmtId="165" fontId="55" fillId="0" borderId="0" xfId="63" applyNumberFormat="1" applyFont="1" applyBorder="1">
      <alignment/>
      <protection/>
    </xf>
    <xf numFmtId="0" fontId="51" fillId="27" borderId="0" xfId="0" applyFont="1" applyFill="1" applyBorder="1" applyAlignment="1">
      <alignment/>
    </xf>
    <xf numFmtId="0" fontId="81" fillId="27" borderId="0" xfId="0" applyFont="1" applyFill="1" applyAlignment="1">
      <alignment/>
    </xf>
    <xf numFmtId="0" fontId="73" fillId="27" borderId="0" xfId="63" applyFont="1" applyFill="1" applyBorder="1">
      <alignment/>
      <protection/>
    </xf>
    <xf numFmtId="0" fontId="55" fillId="27" borderId="36" xfId="63" applyFont="1" applyFill="1" applyBorder="1" applyAlignment="1">
      <alignment horizontal="right" wrapText="1"/>
      <protection/>
    </xf>
    <xf numFmtId="0" fontId="55" fillId="27" borderId="0" xfId="63" applyFont="1" applyFill="1" applyBorder="1" applyAlignment="1">
      <alignment horizontal="right"/>
      <protection/>
    </xf>
    <xf numFmtId="0" fontId="55" fillId="27" borderId="0" xfId="63" applyFont="1" applyFill="1" applyBorder="1" applyAlignment="1">
      <alignment horizontal="right" wrapText="1"/>
      <protection/>
    </xf>
    <xf numFmtId="0" fontId="52" fillId="27" borderId="0" xfId="0" applyFont="1" applyFill="1" applyBorder="1" applyAlignment="1">
      <alignment horizontal="right" wrapText="1"/>
    </xf>
    <xf numFmtId="43" fontId="52" fillId="27" borderId="0" xfId="42" applyFont="1" applyFill="1" applyBorder="1" applyAlignment="1">
      <alignment/>
    </xf>
    <xf numFmtId="0" fontId="55" fillId="27" borderId="0" xfId="63" applyFont="1" applyFill="1" applyBorder="1" applyAlignment="1">
      <alignment vertical="top" wrapText="1"/>
      <protection/>
    </xf>
    <xf numFmtId="0" fontId="73" fillId="27" borderId="0" xfId="63" applyFont="1" applyFill="1" applyBorder="1" applyAlignment="1">
      <alignment horizontal="center"/>
      <protection/>
    </xf>
    <xf numFmtId="165" fontId="73" fillId="27" borderId="0" xfId="42" applyNumberFormat="1" applyFont="1" applyFill="1" applyBorder="1" applyAlignment="1">
      <alignment horizontal="center"/>
    </xf>
    <xf numFmtId="43" fontId="51" fillId="27" borderId="0" xfId="42" applyFont="1" applyFill="1" applyBorder="1" applyAlignment="1">
      <alignment/>
    </xf>
    <xf numFmtId="0" fontId="73" fillId="27" borderId="0" xfId="63" applyFont="1" applyFill="1" applyBorder="1" applyAlignment="1">
      <alignment vertical="top" wrapText="1"/>
      <protection/>
    </xf>
    <xf numFmtId="43" fontId="52" fillId="27" borderId="0" xfId="0" applyNumberFormat="1" applyFont="1" applyFill="1" applyBorder="1" applyAlignment="1">
      <alignment/>
    </xf>
    <xf numFmtId="165" fontId="55" fillId="27" borderId="36" xfId="42" applyNumberFormat="1" applyFont="1" applyFill="1" applyBorder="1" applyAlignment="1">
      <alignment horizontal="center"/>
    </xf>
    <xf numFmtId="165" fontId="55" fillId="27" borderId="0" xfId="42" applyNumberFormat="1" applyFont="1" applyFill="1" applyBorder="1" applyAlignment="1">
      <alignment horizontal="center"/>
    </xf>
    <xf numFmtId="0" fontId="55" fillId="27" borderId="0" xfId="63" applyFont="1" applyFill="1" applyAlignment="1">
      <alignment vertical="top" wrapText="1"/>
      <protection/>
    </xf>
    <xf numFmtId="165" fontId="55" fillId="27" borderId="10" xfId="42" applyNumberFormat="1" applyFont="1" applyFill="1" applyBorder="1" applyAlignment="1">
      <alignment horizontal="center"/>
    </xf>
    <xf numFmtId="165" fontId="55" fillId="27" borderId="0" xfId="63" applyNumberFormat="1" applyFont="1" applyFill="1" applyBorder="1" applyAlignment="1">
      <alignment vertical="top" wrapText="1"/>
      <protection/>
    </xf>
    <xf numFmtId="165" fontId="85" fillId="27" borderId="0" xfId="46" applyNumberFormat="1" applyFont="1" applyFill="1" applyBorder="1" applyAlignment="1">
      <alignment/>
    </xf>
    <xf numFmtId="1" fontId="52" fillId="27" borderId="0" xfId="0" applyNumberFormat="1" applyFont="1" applyFill="1" applyBorder="1" applyAlignment="1">
      <alignment/>
    </xf>
    <xf numFmtId="0" fontId="51" fillId="27" borderId="0" xfId="0" applyFont="1" applyFill="1" applyBorder="1" applyAlignment="1" quotePrefix="1">
      <alignment horizontal="left"/>
    </xf>
    <xf numFmtId="3" fontId="55" fillId="27" borderId="0" xfId="63" applyNumberFormat="1" applyFont="1" applyFill="1" applyBorder="1" applyAlignment="1">
      <alignment horizontal="center"/>
      <protection/>
    </xf>
    <xf numFmtId="0" fontId="55" fillId="27" borderId="0" xfId="63" applyFont="1" applyFill="1" applyBorder="1" applyAlignment="1">
      <alignment horizontal="center"/>
      <protection/>
    </xf>
    <xf numFmtId="0" fontId="55" fillId="27" borderId="36" xfId="63" applyFont="1" applyFill="1" applyBorder="1" applyAlignment="1" quotePrefix="1">
      <alignment horizontal="right" wrapText="1"/>
      <protection/>
    </xf>
    <xf numFmtId="0" fontId="55" fillId="27" borderId="36" xfId="63" applyFont="1" applyFill="1" applyBorder="1" applyAlignment="1">
      <alignment horizontal="right"/>
      <protection/>
    </xf>
    <xf numFmtId="0" fontId="55" fillId="27" borderId="36" xfId="63" applyFont="1" applyFill="1" applyBorder="1" applyAlignment="1" quotePrefix="1">
      <alignment horizontal="right"/>
      <protection/>
    </xf>
    <xf numFmtId="0" fontId="77" fillId="27" borderId="0" xfId="63" applyFont="1" applyFill="1" applyBorder="1" applyAlignment="1" quotePrefix="1">
      <alignment horizontal="left"/>
      <protection/>
    </xf>
    <xf numFmtId="1" fontId="73" fillId="27" borderId="0" xfId="63" applyNumberFormat="1" applyFont="1" applyFill="1" applyBorder="1" applyAlignment="1">
      <alignment horizontal="left" vertical="top" indent="1" shrinkToFit="1"/>
      <protection/>
    </xf>
    <xf numFmtId="1" fontId="73" fillId="27" borderId="0" xfId="63" applyNumberFormat="1" applyFont="1" applyFill="1" applyBorder="1">
      <alignment/>
      <protection/>
    </xf>
    <xf numFmtId="0" fontId="77" fillId="27" borderId="0" xfId="63" applyFont="1" applyFill="1" applyBorder="1" applyAlignment="1">
      <alignment horizontal="left"/>
      <protection/>
    </xf>
    <xf numFmtId="165" fontId="73" fillId="27" borderId="0" xfId="42" applyNumberFormat="1" applyFont="1" applyFill="1" applyBorder="1" applyAlignment="1">
      <alignment/>
    </xf>
    <xf numFmtId="0" fontId="74" fillId="27" borderId="0" xfId="63" applyFont="1" applyFill="1" applyBorder="1">
      <alignment/>
      <protection/>
    </xf>
    <xf numFmtId="165" fontId="55" fillId="27" borderId="0" xfId="42" applyNumberFormat="1" applyFont="1" applyFill="1" applyBorder="1" applyAlignment="1">
      <alignment/>
    </xf>
    <xf numFmtId="1" fontId="55" fillId="27" borderId="0" xfId="63" applyNumberFormat="1" applyFont="1" applyFill="1" applyBorder="1">
      <alignment/>
      <protection/>
    </xf>
    <xf numFmtId="0" fontId="77" fillId="27" borderId="0" xfId="63" applyFont="1" applyFill="1" applyBorder="1">
      <alignment/>
      <protection/>
    </xf>
    <xf numFmtId="165" fontId="55" fillId="27" borderId="33" xfId="42" applyNumberFormat="1" applyFont="1" applyFill="1" applyBorder="1" applyAlignment="1">
      <alignment/>
    </xf>
    <xf numFmtId="43" fontId="73" fillId="27" borderId="0" xfId="42" applyFont="1" applyFill="1" applyBorder="1" applyAlignment="1">
      <alignment/>
    </xf>
    <xf numFmtId="165" fontId="73" fillId="27" borderId="10" xfId="42" applyNumberFormat="1" applyFont="1" applyFill="1" applyBorder="1" applyAlignment="1">
      <alignment/>
    </xf>
    <xf numFmtId="43" fontId="73" fillId="27" borderId="10" xfId="42" applyFont="1" applyFill="1" applyBorder="1" applyAlignment="1">
      <alignment/>
    </xf>
    <xf numFmtId="1" fontId="55" fillId="27" borderId="10" xfId="63" applyNumberFormat="1" applyFont="1" applyFill="1" applyBorder="1">
      <alignment/>
      <protection/>
    </xf>
    <xf numFmtId="1" fontId="73" fillId="27" borderId="10" xfId="63" applyNumberFormat="1" applyFont="1" applyFill="1" applyBorder="1">
      <alignment/>
      <protection/>
    </xf>
    <xf numFmtId="0" fontId="52" fillId="27" borderId="0" xfId="0" applyFont="1" applyFill="1" applyAlignment="1">
      <alignment horizontal="left" wrapText="1"/>
    </xf>
    <xf numFmtId="0" fontId="51" fillId="27" borderId="11" xfId="0" applyFont="1" applyFill="1" applyBorder="1" applyAlignment="1">
      <alignment horizontal="left" wrapText="1"/>
    </xf>
    <xf numFmtId="0" fontId="51" fillId="27" borderId="11" xfId="0" applyFont="1" applyFill="1" applyBorder="1" applyAlignment="1">
      <alignment horizontal="center" wrapText="1"/>
    </xf>
    <xf numFmtId="0" fontId="52" fillId="27" borderId="11" xfId="0" applyFont="1" applyFill="1" applyBorder="1" applyAlignment="1">
      <alignment horizontal="center"/>
    </xf>
    <xf numFmtId="0" fontId="73" fillId="27" borderId="11" xfId="63" applyFont="1" applyFill="1" applyBorder="1">
      <alignment/>
      <protection/>
    </xf>
    <xf numFmtId="0" fontId="51" fillId="27" borderId="11" xfId="0" applyFont="1" applyFill="1" applyBorder="1" applyAlignment="1">
      <alignment/>
    </xf>
    <xf numFmtId="166" fontId="52" fillId="27" borderId="0" xfId="0" applyNumberFormat="1" applyFont="1" applyFill="1" applyAlignment="1">
      <alignment/>
    </xf>
    <xf numFmtId="0" fontId="73" fillId="0" borderId="63" xfId="0" applyFont="1" applyBorder="1" applyAlignment="1">
      <alignment horizontal="justify" vertical="top" wrapText="1"/>
    </xf>
    <xf numFmtId="0" fontId="73" fillId="0" borderId="64" xfId="0" applyFont="1" applyBorder="1" applyAlignment="1">
      <alignment horizontal="justify" vertical="top" wrapText="1"/>
    </xf>
    <xf numFmtId="165" fontId="73" fillId="0" borderId="44" xfId="42" applyNumberFormat="1" applyFont="1" applyBorder="1" applyAlignment="1">
      <alignment horizontal="justify" vertical="top" wrapText="1"/>
    </xf>
    <xf numFmtId="165" fontId="52" fillId="0" borderId="0" xfId="0" applyNumberFormat="1" applyFont="1" applyAlignment="1">
      <alignment/>
    </xf>
    <xf numFmtId="165" fontId="82" fillId="0" borderId="65" xfId="42" applyNumberFormat="1" applyFont="1" applyBorder="1" applyAlignment="1">
      <alignment/>
    </xf>
    <xf numFmtId="165" fontId="73" fillId="27" borderId="36" xfId="42" applyNumberFormat="1" applyFont="1" applyFill="1" applyBorder="1" applyAlignment="1">
      <alignment/>
    </xf>
    <xf numFmtId="165" fontId="55" fillId="27" borderId="10" xfId="63" applyNumberFormat="1" applyFont="1" applyFill="1" applyBorder="1">
      <alignment/>
      <protection/>
    </xf>
    <xf numFmtId="43" fontId="73" fillId="27" borderId="0" xfId="42" applyFont="1" applyFill="1" applyBorder="1" applyAlignment="1">
      <alignment horizontal="left" vertical="top" indent="1" shrinkToFit="1"/>
    </xf>
    <xf numFmtId="0" fontId="79" fillId="0" borderId="0" xfId="0" applyFont="1" applyAlignment="1">
      <alignment horizontal="center"/>
    </xf>
    <xf numFmtId="0" fontId="52" fillId="0" borderId="62" xfId="0" applyFont="1" applyBorder="1" applyAlignment="1">
      <alignment horizontal="center"/>
    </xf>
    <xf numFmtId="0" fontId="52" fillId="0" borderId="66" xfId="0" applyFont="1" applyBorder="1" applyAlignment="1">
      <alignment horizontal="center"/>
    </xf>
    <xf numFmtId="0" fontId="52" fillId="0" borderId="60" xfId="0" applyFont="1" applyBorder="1" applyAlignment="1">
      <alignment horizontal="center"/>
    </xf>
    <xf numFmtId="0" fontId="79" fillId="27" borderId="0" xfId="0" applyFont="1" applyFill="1" applyAlignment="1">
      <alignment/>
    </xf>
    <xf numFmtId="0" fontId="51" fillId="27" borderId="0" xfId="0" applyFont="1" applyFill="1" applyAlignment="1">
      <alignment horizontal="center"/>
    </xf>
    <xf numFmtId="3" fontId="52" fillId="27" borderId="0" xfId="0" applyNumberFormat="1" applyFont="1" applyFill="1" applyAlignment="1">
      <alignment/>
    </xf>
    <xf numFmtId="15" fontId="51" fillId="27" borderId="0" xfId="0" applyNumberFormat="1" applyFont="1" applyFill="1" applyAlignment="1">
      <alignment/>
    </xf>
    <xf numFmtId="0" fontId="51" fillId="27" borderId="0" xfId="0" applyFont="1" applyFill="1" applyBorder="1" applyAlignment="1">
      <alignment horizontal="center"/>
    </xf>
    <xf numFmtId="0" fontId="53" fillId="27" borderId="0" xfId="0" applyFont="1" applyFill="1" applyBorder="1" applyAlignment="1">
      <alignment horizontal="center"/>
    </xf>
    <xf numFmtId="0" fontId="55" fillId="27" borderId="0" xfId="63" applyFont="1" applyFill="1">
      <alignment/>
      <protection/>
    </xf>
    <xf numFmtId="0" fontId="73" fillId="27" borderId="0" xfId="63" applyFont="1" applyFill="1" applyAlignment="1">
      <alignment horizontal="center"/>
      <protection/>
    </xf>
    <xf numFmtId="165" fontId="55" fillId="27" borderId="0" xfId="42" applyNumberFormat="1" applyFont="1" applyFill="1" applyAlignment="1">
      <alignment/>
    </xf>
    <xf numFmtId="165" fontId="73" fillId="27" borderId="0" xfId="42" applyNumberFormat="1" applyFont="1" applyFill="1" applyAlignment="1">
      <alignment/>
    </xf>
    <xf numFmtId="3" fontId="73" fillId="27" borderId="0" xfId="63" applyNumberFormat="1" applyFont="1" applyFill="1" applyAlignment="1">
      <alignment horizontal="center"/>
      <protection/>
    </xf>
    <xf numFmtId="0" fontId="75" fillId="27" borderId="0" xfId="63" applyFont="1" applyFill="1">
      <alignment/>
      <protection/>
    </xf>
    <xf numFmtId="165" fontId="73" fillId="27" borderId="10" xfId="42" applyNumberFormat="1" applyFont="1" applyFill="1" applyBorder="1" applyAlignment="1">
      <alignment horizontal="right"/>
    </xf>
    <xf numFmtId="165" fontId="55" fillId="27" borderId="0" xfId="42" applyNumberFormat="1" applyFont="1" applyFill="1" applyAlignment="1">
      <alignment horizontal="right"/>
    </xf>
    <xf numFmtId="165" fontId="55" fillId="27" borderId="0" xfId="42" applyNumberFormat="1" applyFont="1" applyFill="1" applyBorder="1" applyAlignment="1">
      <alignment horizontal="right"/>
    </xf>
    <xf numFmtId="0" fontId="74" fillId="27" borderId="0" xfId="63" applyFont="1" applyFill="1">
      <alignment/>
      <protection/>
    </xf>
    <xf numFmtId="165" fontId="73" fillId="27" borderId="18" xfId="42" applyNumberFormat="1" applyFont="1" applyFill="1" applyBorder="1" applyAlignment="1">
      <alignment/>
    </xf>
    <xf numFmtId="3" fontId="51" fillId="27" borderId="0" xfId="0" applyNumberFormat="1" applyFont="1" applyFill="1" applyAlignment="1">
      <alignment/>
    </xf>
    <xf numFmtId="165" fontId="55" fillId="27" borderId="37" xfId="42" applyNumberFormat="1" applyFont="1" applyFill="1" applyBorder="1" applyAlignment="1">
      <alignment/>
    </xf>
    <xf numFmtId="0" fontId="52" fillId="27" borderId="0" xfId="0" applyFont="1" applyFill="1" applyAlignment="1">
      <alignment horizontal="center"/>
    </xf>
    <xf numFmtId="165" fontId="82" fillId="0" borderId="11" xfId="42" applyNumberFormat="1" applyFont="1" applyBorder="1" applyAlignment="1">
      <alignment/>
    </xf>
    <xf numFmtId="165" fontId="82" fillId="0" borderId="42" xfId="42" applyNumberFormat="1" applyFont="1" applyBorder="1" applyAlignment="1">
      <alignment/>
    </xf>
    <xf numFmtId="165" fontId="93" fillId="0" borderId="11" xfId="42" applyNumberFormat="1" applyFont="1" applyBorder="1" applyAlignment="1">
      <alignment/>
    </xf>
    <xf numFmtId="165" fontId="93" fillId="0" borderId="42" xfId="42" applyNumberFormat="1" applyFont="1" applyBorder="1" applyAlignment="1">
      <alignment/>
    </xf>
    <xf numFmtId="165" fontId="52" fillId="0" borderId="0" xfId="42" applyNumberFormat="1" applyFont="1" applyAlignment="1">
      <alignment/>
    </xf>
    <xf numFmtId="165" fontId="51" fillId="0" borderId="0" xfId="0" applyNumberFormat="1" applyFont="1" applyFill="1" applyAlignment="1">
      <alignment/>
    </xf>
    <xf numFmtId="43" fontId="52" fillId="0" borderId="0" xfId="42" applyFont="1" applyAlignment="1">
      <alignment/>
    </xf>
    <xf numFmtId="43" fontId="93" fillId="27" borderId="0" xfId="42" applyFont="1" applyFill="1" applyBorder="1" applyAlignment="1">
      <alignment/>
    </xf>
    <xf numFmtId="165" fontId="52" fillId="27" borderId="0" xfId="42" applyNumberFormat="1" applyFont="1" applyFill="1" applyBorder="1" applyAlignment="1" quotePrefix="1">
      <alignment horizontal="center"/>
    </xf>
    <xf numFmtId="165" fontId="116" fillId="0" borderId="11" xfId="42" applyNumberFormat="1" applyFont="1" applyBorder="1" applyAlignment="1">
      <alignment/>
    </xf>
    <xf numFmtId="165" fontId="116" fillId="0" borderId="11" xfId="42" applyNumberFormat="1" applyFont="1" applyFill="1" applyBorder="1" applyAlignment="1">
      <alignment/>
    </xf>
    <xf numFmtId="165" fontId="74" fillId="27" borderId="0" xfId="63" applyNumberFormat="1" applyFont="1" applyFill="1" applyBorder="1">
      <alignment/>
      <protection/>
    </xf>
    <xf numFmtId="165" fontId="73" fillId="0" borderId="0" xfId="42" applyNumberFormat="1" applyFont="1" applyFill="1" applyBorder="1" applyAlignment="1">
      <alignment horizontal="right"/>
    </xf>
    <xf numFmtId="165" fontId="92" fillId="0" borderId="0" xfId="42" applyNumberFormat="1" applyFont="1" applyBorder="1" applyAlignment="1">
      <alignment/>
    </xf>
    <xf numFmtId="2" fontId="73" fillId="27" borderId="0" xfId="63" applyNumberFormat="1" applyFont="1" applyFill="1" applyBorder="1">
      <alignment/>
      <protection/>
    </xf>
    <xf numFmtId="0" fontId="95" fillId="27" borderId="11" xfId="63" applyFont="1" applyFill="1" applyBorder="1">
      <alignment/>
      <protection/>
    </xf>
    <xf numFmtId="4" fontId="117" fillId="27" borderId="11" xfId="0" applyNumberFormat="1" applyFont="1" applyFill="1" applyBorder="1" applyAlignment="1">
      <alignment vertical="top"/>
    </xf>
    <xf numFmtId="0" fontId="98" fillId="27" borderId="11" xfId="63" applyFont="1" applyFill="1" applyBorder="1">
      <alignment/>
      <protection/>
    </xf>
    <xf numFmtId="43" fontId="51" fillId="27" borderId="0" xfId="42" applyNumberFormat="1" applyFont="1" applyFill="1" applyBorder="1" applyAlignment="1">
      <alignment/>
    </xf>
    <xf numFmtId="167" fontId="51" fillId="27" borderId="0" xfId="42" applyNumberFormat="1" applyFont="1" applyFill="1" applyBorder="1" applyAlignment="1">
      <alignment/>
    </xf>
    <xf numFmtId="165" fontId="73" fillId="27" borderId="67" xfId="63" applyNumberFormat="1" applyFont="1" applyFill="1" applyBorder="1">
      <alignment/>
      <protection/>
    </xf>
    <xf numFmtId="43" fontId="92" fillId="0" borderId="67" xfId="42" applyFont="1" applyBorder="1" applyAlignment="1">
      <alignment/>
    </xf>
    <xf numFmtId="3" fontId="99" fillId="27" borderId="0" xfId="0" applyNumberFormat="1" applyFont="1" applyFill="1" applyBorder="1" applyAlignment="1">
      <alignment vertical="top"/>
    </xf>
    <xf numFmtId="0" fontId="95" fillId="27" borderId="11" xfId="0" applyFont="1" applyFill="1" applyBorder="1" applyAlignment="1">
      <alignment horizontal="center" vertical="top"/>
    </xf>
    <xf numFmtId="0" fontId="95" fillId="27" borderId="11" xfId="0" applyFont="1" applyFill="1" applyBorder="1" applyAlignment="1">
      <alignment vertical="top"/>
    </xf>
    <xf numFmtId="165" fontId="100" fillId="0" borderId="37" xfId="42" applyNumberFormat="1" applyFont="1" applyBorder="1" applyAlignment="1">
      <alignment horizontal="right"/>
    </xf>
    <xf numFmtId="0" fontId="97" fillId="27" borderId="11" xfId="0" applyFont="1" applyFill="1" applyBorder="1" applyAlignment="1">
      <alignment vertical="top"/>
    </xf>
    <xf numFmtId="0" fontId="101" fillId="27" borderId="11" xfId="63" applyFont="1" applyFill="1" applyBorder="1">
      <alignment/>
      <protection/>
    </xf>
    <xf numFmtId="43" fontId="118" fillId="27" borderId="11" xfId="42" applyNumberFormat="1" applyFont="1" applyFill="1" applyBorder="1" applyAlignment="1">
      <alignment/>
    </xf>
    <xf numFmtId="165" fontId="116" fillId="27" borderId="0" xfId="42" applyNumberFormat="1" applyFont="1" applyFill="1" applyAlignment="1">
      <alignment horizontal="right"/>
    </xf>
    <xf numFmtId="0" fontId="119" fillId="27" borderId="11" xfId="0" applyFont="1" applyFill="1" applyBorder="1" applyAlignment="1">
      <alignment vertical="top" wrapText="1"/>
    </xf>
    <xf numFmtId="4" fontId="119" fillId="27" borderId="11" xfId="0" applyNumberFormat="1" applyFont="1" applyFill="1" applyBorder="1" applyAlignment="1">
      <alignment vertical="top"/>
    </xf>
    <xf numFmtId="43" fontId="119" fillId="27" borderId="11" xfId="42" applyNumberFormat="1" applyFont="1" applyFill="1" applyBorder="1" applyAlignment="1">
      <alignment/>
    </xf>
    <xf numFmtId="0" fontId="120" fillId="27" borderId="11" xfId="0" applyFont="1" applyFill="1" applyBorder="1" applyAlignment="1">
      <alignment horizontal="center" vertical="top"/>
    </xf>
    <xf numFmtId="0" fontId="120" fillId="27" borderId="11" xfId="0" applyFont="1" applyFill="1" applyBorder="1" applyAlignment="1">
      <alignment vertical="top" wrapText="1"/>
    </xf>
    <xf numFmtId="4" fontId="120" fillId="27" borderId="11" xfId="0" applyNumberFormat="1" applyFont="1" applyFill="1" applyBorder="1" applyAlignment="1">
      <alignment vertical="top"/>
    </xf>
    <xf numFmtId="0" fontId="98" fillId="27" borderId="0" xfId="0" applyFont="1" applyFill="1" applyBorder="1" applyAlignment="1">
      <alignment vertical="top"/>
    </xf>
    <xf numFmtId="43" fontId="116" fillId="27" borderId="0" xfId="42" applyFont="1" applyFill="1" applyBorder="1" applyAlignment="1">
      <alignment/>
    </xf>
    <xf numFmtId="4" fontId="98" fillId="27" borderId="11" xfId="0" applyNumberFormat="1" applyFont="1" applyFill="1" applyBorder="1" applyAlignment="1">
      <alignment vertical="top"/>
    </xf>
    <xf numFmtId="0" fontId="119" fillId="27" borderId="11" xfId="0" applyFont="1" applyFill="1" applyBorder="1" applyAlignment="1">
      <alignment horizontal="center" vertical="top"/>
    </xf>
    <xf numFmtId="177" fontId="52" fillId="27" borderId="0" xfId="42" applyNumberFormat="1" applyFont="1" applyFill="1" applyAlignment="1">
      <alignment/>
    </xf>
    <xf numFmtId="43" fontId="51" fillId="27" borderId="0" xfId="0" applyNumberFormat="1" applyFont="1" applyFill="1" applyAlignment="1">
      <alignment/>
    </xf>
    <xf numFmtId="0" fontId="98" fillId="27" borderId="11" xfId="0" applyFont="1" applyFill="1" applyBorder="1" applyAlignment="1">
      <alignment vertical="top"/>
    </xf>
    <xf numFmtId="0" fontId="120" fillId="27" borderId="11" xfId="63" applyFont="1" applyFill="1" applyBorder="1">
      <alignment/>
      <protection/>
    </xf>
    <xf numFmtId="4" fontId="120" fillId="27" borderId="17" xfId="0" applyNumberFormat="1" applyFont="1" applyFill="1" applyBorder="1" applyAlignment="1">
      <alignment vertical="top"/>
    </xf>
    <xf numFmtId="4" fontId="105" fillId="27" borderId="11" xfId="0" applyNumberFormat="1" applyFont="1" applyFill="1" applyBorder="1" applyAlignment="1">
      <alignment vertical="top"/>
    </xf>
    <xf numFmtId="4" fontId="121" fillId="27" borderId="11" xfId="0" applyNumberFormat="1" applyFont="1" applyFill="1" applyBorder="1" applyAlignment="1">
      <alignment vertical="top"/>
    </xf>
    <xf numFmtId="4" fontId="121" fillId="27" borderId="17" xfId="0" applyNumberFormat="1" applyFont="1" applyFill="1" applyBorder="1" applyAlignment="1">
      <alignment vertical="top"/>
    </xf>
    <xf numFmtId="0" fontId="98" fillId="27" borderId="11" xfId="0" applyFont="1" applyFill="1" applyBorder="1" applyAlignment="1">
      <alignment horizontal="center" vertical="top"/>
    </xf>
    <xf numFmtId="0" fontId="98" fillId="27" borderId="11" xfId="0" applyFont="1" applyFill="1" applyBorder="1" applyAlignment="1">
      <alignment vertical="top" wrapText="1"/>
    </xf>
    <xf numFmtId="4" fontId="101" fillId="27" borderId="11" xfId="0" applyNumberFormat="1" applyFont="1" applyFill="1" applyBorder="1" applyAlignment="1">
      <alignment vertical="top"/>
    </xf>
    <xf numFmtId="0" fontId="55" fillId="27" borderId="0" xfId="63" applyFont="1" applyFill="1" applyBorder="1" applyAlignment="1">
      <alignment/>
      <protection/>
    </xf>
    <xf numFmtId="0" fontId="55" fillId="27" borderId="0" xfId="63" applyFont="1" applyFill="1" applyBorder="1" applyAlignment="1">
      <alignment horizontal="right"/>
      <protection/>
    </xf>
    <xf numFmtId="165" fontId="116" fillId="27" borderId="0" xfId="42" applyNumberFormat="1" applyFont="1" applyFill="1" applyBorder="1" applyAlignment="1">
      <alignment/>
    </xf>
    <xf numFmtId="43" fontId="98" fillId="27" borderId="0" xfId="42" applyFont="1" applyFill="1" applyBorder="1" applyAlignment="1">
      <alignment vertical="top"/>
    </xf>
    <xf numFmtId="0" fontId="98" fillId="27" borderId="0" xfId="0" applyFont="1" applyFill="1" applyAlignment="1">
      <alignment vertical="top"/>
    </xf>
    <xf numFmtId="0" fontId="96" fillId="27" borderId="11" xfId="0" applyFont="1" applyFill="1" applyBorder="1" applyAlignment="1">
      <alignment horizontal="center" vertical="top" wrapText="1"/>
    </xf>
    <xf numFmtId="0" fontId="96" fillId="27" borderId="11" xfId="0" applyFont="1" applyFill="1" applyBorder="1" applyAlignment="1">
      <alignment horizontal="center" vertical="top" wrapText="1" readingOrder="1"/>
    </xf>
    <xf numFmtId="0" fontId="101" fillId="27" borderId="0" xfId="0" applyFont="1" applyFill="1" applyAlignment="1">
      <alignment horizontal="right" vertical="top" wrapText="1" readingOrder="1"/>
    </xf>
    <xf numFmtId="4" fontId="98" fillId="27" borderId="0" xfId="0" applyNumberFormat="1" applyFont="1" applyFill="1" applyAlignment="1">
      <alignment vertical="top"/>
    </xf>
    <xf numFmtId="43" fontId="98" fillId="27" borderId="0" xfId="0" applyNumberFormat="1" applyFont="1" applyFill="1" applyAlignment="1">
      <alignment vertical="top"/>
    </xf>
    <xf numFmtId="43" fontId="98" fillId="27" borderId="0" xfId="42" applyFont="1" applyFill="1" applyAlignment="1">
      <alignment vertical="top"/>
    </xf>
    <xf numFmtId="4" fontId="104" fillId="27" borderId="11" xfId="0" applyNumberFormat="1" applyFont="1" applyFill="1" applyBorder="1" applyAlignment="1">
      <alignment vertical="top"/>
    </xf>
    <xf numFmtId="0" fontId="98" fillId="27" borderId="11" xfId="0" applyFont="1" applyFill="1" applyBorder="1" applyAlignment="1">
      <alignment vertical="top" wrapText="1" readingOrder="1"/>
    </xf>
    <xf numFmtId="165" fontId="120" fillId="27" borderId="11" xfId="42" applyNumberFormat="1" applyFont="1" applyFill="1" applyBorder="1" applyAlignment="1">
      <alignment/>
    </xf>
    <xf numFmtId="0" fontId="98" fillId="27" borderId="0" xfId="0" applyFont="1" applyFill="1" applyAlignment="1">
      <alignment horizontal="center" vertical="top"/>
    </xf>
    <xf numFmtId="43" fontId="118" fillId="27" borderId="17" xfId="42" applyFont="1" applyFill="1" applyBorder="1" applyAlignment="1">
      <alignment/>
    </xf>
    <xf numFmtId="0" fontId="98" fillId="27" borderId="17" xfId="0" applyFont="1" applyFill="1" applyBorder="1" applyAlignment="1">
      <alignment horizontal="center" vertical="top"/>
    </xf>
    <xf numFmtId="0" fontId="98" fillId="27" borderId="17" xfId="0" applyFont="1" applyFill="1" applyBorder="1" applyAlignment="1">
      <alignment vertical="top" wrapText="1"/>
    </xf>
    <xf numFmtId="4" fontId="98" fillId="27" borderId="17" xfId="0" applyNumberFormat="1" applyFont="1" applyFill="1" applyBorder="1" applyAlignment="1">
      <alignment vertical="top"/>
    </xf>
    <xf numFmtId="0" fontId="98" fillId="27" borderId="68" xfId="0" applyFont="1" applyFill="1" applyBorder="1" applyAlignment="1">
      <alignment horizontal="center" vertical="top"/>
    </xf>
    <xf numFmtId="0" fontId="96" fillId="27" borderId="68" xfId="0" applyFont="1" applyFill="1" applyBorder="1" applyAlignment="1">
      <alignment vertical="top"/>
    </xf>
    <xf numFmtId="43" fontId="101" fillId="27" borderId="68" xfId="42" applyFont="1" applyFill="1" applyBorder="1" applyAlignment="1">
      <alignment vertical="top"/>
    </xf>
    <xf numFmtId="0" fontId="101" fillId="27" borderId="11" xfId="0" applyFont="1" applyFill="1" applyBorder="1" applyAlignment="1">
      <alignment vertical="top" wrapText="1"/>
    </xf>
    <xf numFmtId="0" fontId="97" fillId="27" borderId="11" xfId="63" applyFont="1" applyFill="1" applyBorder="1">
      <alignment/>
      <protection/>
    </xf>
    <xf numFmtId="4" fontId="98" fillId="27" borderId="0" xfId="0" applyNumberFormat="1" applyFont="1" applyFill="1" applyBorder="1" applyAlignment="1">
      <alignment vertical="top"/>
    </xf>
    <xf numFmtId="0" fontId="73" fillId="27" borderId="0" xfId="63" applyFont="1" applyFill="1" applyBorder="1" applyAlignment="1">
      <alignment horizontal="left"/>
      <protection/>
    </xf>
    <xf numFmtId="43" fontId="98" fillId="27" borderId="0" xfId="0" applyNumberFormat="1" applyFont="1" applyFill="1" applyBorder="1" applyAlignment="1">
      <alignment vertical="top"/>
    </xf>
    <xf numFmtId="0" fontId="101" fillId="27" borderId="11" xfId="0" applyFont="1" applyFill="1" applyBorder="1" applyAlignment="1">
      <alignment horizontal="left" vertical="top" wrapText="1" readingOrder="1"/>
    </xf>
    <xf numFmtId="0" fontId="101" fillId="27" borderId="17" xfId="0" applyFont="1" applyFill="1" applyBorder="1" applyAlignment="1">
      <alignment vertical="top" wrapText="1"/>
    </xf>
    <xf numFmtId="43" fontId="117" fillId="27" borderId="11" xfId="42" applyFont="1" applyFill="1" applyBorder="1" applyAlignment="1">
      <alignment/>
    </xf>
    <xf numFmtId="43" fontId="121" fillId="27" borderId="11" xfId="42" applyNumberFormat="1" applyFont="1" applyFill="1" applyBorder="1" applyAlignment="1">
      <alignment/>
    </xf>
    <xf numFmtId="0" fontId="122" fillId="0" borderId="0" xfId="0" applyFont="1" applyAlignment="1">
      <alignment horizontal="left"/>
    </xf>
    <xf numFmtId="0" fontId="122" fillId="0" borderId="0" xfId="0" applyFont="1" applyAlignment="1">
      <alignment wrapText="1"/>
    </xf>
    <xf numFmtId="194" fontId="123" fillId="0" borderId="0" xfId="42" applyNumberFormat="1" applyFont="1" applyAlignment="1">
      <alignment horizontal="right"/>
    </xf>
    <xf numFmtId="0" fontId="123" fillId="0" borderId="0" xfId="0" applyFont="1" applyAlignment="1">
      <alignment wrapText="1"/>
    </xf>
    <xf numFmtId="0" fontId="124" fillId="28" borderId="0" xfId="0" applyFont="1" applyFill="1" applyAlignment="1">
      <alignment wrapText="1"/>
    </xf>
    <xf numFmtId="194" fontId="123" fillId="29" borderId="0" xfId="42" applyNumberFormat="1" applyFont="1" applyFill="1" applyAlignment="1">
      <alignment horizontal="right"/>
    </xf>
    <xf numFmtId="194" fontId="123" fillId="29" borderId="0" xfId="42" applyNumberFormat="1" applyFont="1" applyFill="1" applyAlignment="1" applyProtection="1">
      <alignment horizontal="right"/>
      <protection/>
    </xf>
    <xf numFmtId="194" fontId="122" fillId="0" borderId="37" xfId="42" applyNumberFormat="1" applyFont="1" applyBorder="1" applyAlignment="1">
      <alignment horizontal="right"/>
    </xf>
    <xf numFmtId="0" fontId="73" fillId="0" borderId="0" xfId="63" applyFont="1" applyFill="1" applyBorder="1" applyAlignment="1">
      <alignment horizontal="center" vertical="top" wrapText="1"/>
      <protection/>
    </xf>
    <xf numFmtId="174" fontId="51" fillId="0" borderId="0" xfId="0" applyNumberFormat="1" applyFont="1" applyFill="1" applyAlignment="1">
      <alignment/>
    </xf>
    <xf numFmtId="165" fontId="55" fillId="0" borderId="0" xfId="42" applyNumberFormat="1" applyFont="1" applyFill="1" applyBorder="1" applyAlignment="1">
      <alignment/>
    </xf>
    <xf numFmtId="0" fontId="73" fillId="0" borderId="0" xfId="63" applyFont="1" applyFill="1" applyAlignment="1">
      <alignment horizontal="center"/>
      <protection/>
    </xf>
    <xf numFmtId="43" fontId="73" fillId="0" borderId="0" xfId="42" applyFont="1" applyFill="1" applyBorder="1" applyAlignment="1">
      <alignment horizontal="right"/>
    </xf>
    <xf numFmtId="43" fontId="73" fillId="0" borderId="0" xfId="42" applyFont="1" applyFill="1" applyAlignment="1">
      <alignment horizontal="right"/>
    </xf>
    <xf numFmtId="0" fontId="73" fillId="0" borderId="0" xfId="63" applyFont="1" applyFill="1" applyAlignment="1">
      <alignment horizontal="right"/>
      <protection/>
    </xf>
    <xf numFmtId="165" fontId="55" fillId="0" borderId="69" xfId="63" applyNumberFormat="1" applyFont="1" applyFill="1" applyBorder="1">
      <alignment/>
      <protection/>
    </xf>
    <xf numFmtId="165" fontId="73" fillId="0" borderId="0" xfId="63" applyNumberFormat="1" applyFont="1" applyFill="1" applyBorder="1">
      <alignment/>
      <protection/>
    </xf>
    <xf numFmtId="3" fontId="73" fillId="0" borderId="0" xfId="63" applyNumberFormat="1" applyFont="1" applyFill="1" applyAlignment="1">
      <alignment horizontal="center"/>
      <protection/>
    </xf>
    <xf numFmtId="165" fontId="125" fillId="0" borderId="0" xfId="42" applyNumberFormat="1" applyFont="1" applyFill="1" applyAlignment="1">
      <alignment/>
    </xf>
    <xf numFmtId="3" fontId="125" fillId="0" borderId="0" xfId="63" applyNumberFormat="1" applyFont="1" applyFill="1">
      <alignment/>
      <protection/>
    </xf>
    <xf numFmtId="3" fontId="73" fillId="0" borderId="0" xfId="63" applyNumberFormat="1" applyFont="1" applyFill="1" applyBorder="1">
      <alignment/>
      <protection/>
    </xf>
    <xf numFmtId="165" fontId="52" fillId="0" borderId="0" xfId="42" applyNumberFormat="1" applyFont="1" applyFill="1" applyAlignment="1">
      <alignment horizontal="center"/>
    </xf>
    <xf numFmtId="0" fontId="126" fillId="27" borderId="0" xfId="0" applyFont="1" applyFill="1" applyAlignment="1">
      <alignment horizontal="left"/>
    </xf>
    <xf numFmtId="0" fontId="116" fillId="27" borderId="0" xfId="0" applyFont="1" applyFill="1" applyAlignment="1">
      <alignment/>
    </xf>
    <xf numFmtId="165" fontId="116" fillId="27" borderId="0" xfId="42" applyNumberFormat="1" applyFont="1" applyFill="1" applyBorder="1" applyAlignment="1">
      <alignment horizontal="right"/>
    </xf>
    <xf numFmtId="0" fontId="126" fillId="27" borderId="0" xfId="0" applyFont="1" applyFill="1" applyAlignment="1">
      <alignment/>
    </xf>
    <xf numFmtId="0" fontId="126" fillId="27" borderId="36" xfId="42" applyNumberFormat="1" applyFont="1" applyFill="1" applyBorder="1" applyAlignment="1" quotePrefix="1">
      <alignment horizontal="right"/>
    </xf>
    <xf numFmtId="0" fontId="126" fillId="27" borderId="0" xfId="42" applyNumberFormat="1" applyFont="1" applyFill="1" applyBorder="1" applyAlignment="1">
      <alignment horizontal="right"/>
    </xf>
    <xf numFmtId="0" fontId="126" fillId="27" borderId="0" xfId="0" applyFont="1" applyFill="1" applyBorder="1" applyAlignment="1">
      <alignment/>
    </xf>
    <xf numFmtId="165" fontId="126" fillId="27" borderId="0" xfId="42" applyNumberFormat="1" applyFont="1" applyFill="1" applyAlignment="1">
      <alignment horizontal="right"/>
    </xf>
    <xf numFmtId="165" fontId="126" fillId="27" borderId="0" xfId="42" applyNumberFormat="1" applyFont="1" applyFill="1" applyBorder="1" applyAlignment="1">
      <alignment horizontal="right"/>
    </xf>
    <xf numFmtId="0" fontId="126" fillId="27" borderId="0" xfId="0" applyFont="1" applyFill="1" applyAlignment="1">
      <alignment horizontal="right"/>
    </xf>
    <xf numFmtId="0" fontId="126" fillId="27" borderId="0" xfId="0" applyFont="1" applyFill="1" applyAlignment="1" quotePrefix="1">
      <alignment horizontal="left"/>
    </xf>
    <xf numFmtId="165" fontId="116" fillId="27" borderId="0" xfId="42" applyNumberFormat="1" applyFont="1" applyFill="1" applyAlignment="1">
      <alignment/>
    </xf>
    <xf numFmtId="43" fontId="116" fillId="27" borderId="0" xfId="42" applyFont="1" applyFill="1" applyAlignment="1">
      <alignment/>
    </xf>
    <xf numFmtId="165" fontId="126" fillId="27" borderId="37" xfId="42" applyNumberFormat="1" applyFont="1" applyFill="1" applyBorder="1" applyAlignment="1">
      <alignment horizontal="right"/>
    </xf>
    <xf numFmtId="165" fontId="126" fillId="27" borderId="0" xfId="0" applyNumberFormat="1" applyFont="1" applyFill="1" applyBorder="1" applyAlignment="1">
      <alignment/>
    </xf>
    <xf numFmtId="165" fontId="116" fillId="27" borderId="0" xfId="0" applyNumberFormat="1" applyFont="1" applyFill="1" applyAlignment="1">
      <alignment/>
    </xf>
    <xf numFmtId="0" fontId="126" fillId="27" borderId="0" xfId="63" applyFont="1" applyFill="1" applyAlignment="1">
      <alignment/>
      <protection/>
    </xf>
    <xf numFmtId="0" fontId="116" fillId="27" borderId="0" xfId="63" applyFont="1" applyFill="1" applyAlignment="1">
      <alignment/>
      <protection/>
    </xf>
    <xf numFmtId="165" fontId="116" fillId="27" borderId="0" xfId="42" applyNumberFormat="1" applyFont="1" applyFill="1" applyAlignment="1">
      <alignment/>
    </xf>
    <xf numFmtId="165" fontId="116" fillId="27" borderId="0" xfId="42" applyNumberFormat="1" applyFont="1" applyFill="1" applyBorder="1" applyAlignment="1">
      <alignment/>
    </xf>
    <xf numFmtId="0" fontId="116" fillId="27" borderId="0" xfId="0" applyFont="1" applyFill="1" applyBorder="1" applyAlignment="1">
      <alignment/>
    </xf>
    <xf numFmtId="165" fontId="116" fillId="27" borderId="0" xfId="63" applyNumberFormat="1" applyFont="1" applyFill="1" applyAlignment="1">
      <alignment/>
      <protection/>
    </xf>
    <xf numFmtId="165" fontId="126" fillId="27" borderId="0" xfId="42" applyNumberFormat="1" applyFont="1" applyFill="1" applyBorder="1" applyAlignment="1">
      <alignment/>
    </xf>
    <xf numFmtId="0" fontId="127" fillId="27" borderId="0" xfId="0" applyFont="1" applyFill="1" applyBorder="1" applyAlignment="1">
      <alignment/>
    </xf>
    <xf numFmtId="0" fontId="116" fillId="27" borderId="0" xfId="63" applyFont="1" applyFill="1" applyAlignment="1">
      <alignment vertical="top"/>
      <protection/>
    </xf>
    <xf numFmtId="43" fontId="116" fillId="27" borderId="0" xfId="42" applyFont="1" applyFill="1" applyAlignment="1">
      <alignment vertical="top"/>
    </xf>
    <xf numFmtId="0" fontId="116" fillId="27" borderId="0" xfId="63" applyFont="1" applyFill="1" applyAlignment="1">
      <alignment horizontal="right"/>
      <protection/>
    </xf>
    <xf numFmtId="165" fontId="116" fillId="27" borderId="0" xfId="42" applyNumberFormat="1" applyFont="1" applyFill="1" applyAlignment="1">
      <alignment vertical="top"/>
    </xf>
    <xf numFmtId="3" fontId="116" fillId="27" borderId="0" xfId="0" applyNumberFormat="1" applyFont="1" applyFill="1" applyBorder="1" applyAlignment="1">
      <alignment vertical="top"/>
    </xf>
    <xf numFmtId="4" fontId="117" fillId="27" borderId="0" xfId="0" applyNumberFormat="1" applyFont="1" applyFill="1" applyBorder="1" applyAlignment="1">
      <alignment vertical="top"/>
    </xf>
    <xf numFmtId="43" fontId="116" fillId="27" borderId="0" xfId="63" applyNumberFormat="1" applyFont="1" applyFill="1" applyAlignment="1">
      <alignment/>
      <protection/>
    </xf>
    <xf numFmtId="0" fontId="128" fillId="27" borderId="0" xfId="0" applyFont="1" applyFill="1" applyBorder="1" applyAlignment="1">
      <alignment vertical="top"/>
    </xf>
    <xf numFmtId="165" fontId="116" fillId="27" borderId="0" xfId="63" applyNumberFormat="1" applyFont="1" applyFill="1" applyAlignment="1">
      <alignment vertical="top"/>
      <protection/>
    </xf>
    <xf numFmtId="0" fontId="126" fillId="27" borderId="0" xfId="63" applyFont="1" applyFill="1" applyAlignment="1">
      <alignment vertical="top"/>
      <protection/>
    </xf>
    <xf numFmtId="0" fontId="126" fillId="27" borderId="0" xfId="63" applyFont="1" applyFill="1" applyAlignment="1">
      <alignment horizontal="right"/>
      <protection/>
    </xf>
    <xf numFmtId="165" fontId="126" fillId="27" borderId="0" xfId="63" applyNumberFormat="1" applyFont="1" applyFill="1" applyBorder="1" applyAlignment="1">
      <alignment/>
      <protection/>
    </xf>
    <xf numFmtId="165" fontId="126" fillId="27" borderId="0" xfId="63" applyNumberFormat="1" applyFont="1" applyFill="1" applyAlignment="1">
      <alignment/>
      <protection/>
    </xf>
    <xf numFmtId="4" fontId="129" fillId="27" borderId="0" xfId="0" applyNumberFormat="1" applyFont="1" applyFill="1" applyBorder="1" applyAlignment="1">
      <alignment vertical="top"/>
    </xf>
    <xf numFmtId="165" fontId="126" fillId="27" borderId="0" xfId="0" applyNumberFormat="1" applyFont="1" applyFill="1" applyAlignment="1">
      <alignment horizontal="left"/>
    </xf>
    <xf numFmtId="43" fontId="116" fillId="27" borderId="0" xfId="0" applyNumberFormat="1" applyFont="1" applyFill="1" applyAlignment="1">
      <alignment/>
    </xf>
    <xf numFmtId="165" fontId="116" fillId="27" borderId="37" xfId="42" applyNumberFormat="1" applyFont="1" applyFill="1" applyBorder="1" applyAlignment="1">
      <alignment horizontal="right"/>
    </xf>
    <xf numFmtId="3" fontId="130" fillId="27" borderId="0" xfId="42" applyNumberFormat="1" applyFont="1" applyFill="1" applyBorder="1" applyAlignment="1">
      <alignment/>
    </xf>
    <xf numFmtId="165" fontId="126" fillId="27" borderId="0" xfId="42" applyNumberFormat="1" applyFont="1" applyFill="1" applyBorder="1" applyAlignment="1">
      <alignment/>
    </xf>
    <xf numFmtId="43" fontId="126" fillId="27" borderId="0" xfId="42" applyFont="1" applyFill="1" applyAlignment="1">
      <alignment vertical="top"/>
    </xf>
    <xf numFmtId="43" fontId="116" fillId="27" borderId="0" xfId="63" applyNumberFormat="1" applyFont="1" applyFill="1" applyAlignment="1">
      <alignment vertical="top"/>
      <protection/>
    </xf>
    <xf numFmtId="43" fontId="116" fillId="27" borderId="0" xfId="42" applyFont="1" applyFill="1" applyAlignment="1">
      <alignment/>
    </xf>
    <xf numFmtId="165" fontId="126" fillId="27" borderId="37" xfId="42" applyNumberFormat="1" applyFont="1" applyFill="1" applyBorder="1" applyAlignment="1">
      <alignment/>
    </xf>
    <xf numFmtId="165" fontId="116" fillId="27" borderId="0" xfId="0" applyNumberFormat="1" applyFont="1" applyFill="1" applyBorder="1" applyAlignment="1">
      <alignment/>
    </xf>
    <xf numFmtId="43" fontId="116" fillId="27" borderId="0" xfId="0" applyNumberFormat="1" applyFont="1" applyFill="1" applyBorder="1" applyAlignment="1">
      <alignment/>
    </xf>
    <xf numFmtId="43" fontId="116" fillId="27" borderId="0" xfId="42" applyFont="1" applyFill="1" applyBorder="1" applyAlignment="1">
      <alignment/>
    </xf>
    <xf numFmtId="165" fontId="126" fillId="27" borderId="0" xfId="42" applyNumberFormat="1" applyFont="1" applyFill="1" applyAlignment="1">
      <alignment/>
    </xf>
    <xf numFmtId="43" fontId="117" fillId="27" borderId="0" xfId="42" applyFont="1" applyFill="1" applyBorder="1" applyAlignment="1">
      <alignment horizontal="right" vertical="top"/>
    </xf>
    <xf numFmtId="165" fontId="116" fillId="27" borderId="0" xfId="42" applyNumberFormat="1" applyFont="1" applyFill="1" applyAlignment="1">
      <alignment horizontal="center"/>
    </xf>
    <xf numFmtId="0" fontId="126" fillId="27" borderId="0" xfId="0" applyFont="1" applyFill="1" applyAlignment="1">
      <alignment horizontal="center"/>
    </xf>
    <xf numFmtId="0" fontId="117" fillId="27" borderId="0" xfId="0" applyFont="1" applyFill="1" applyBorder="1" applyAlignment="1">
      <alignment vertical="top"/>
    </xf>
    <xf numFmtId="165" fontId="128" fillId="27" borderId="0" xfId="42" applyNumberFormat="1" applyFont="1" applyFill="1" applyBorder="1" applyAlignment="1">
      <alignment/>
    </xf>
    <xf numFmtId="3" fontId="116" fillId="27" borderId="0" xfId="0" applyNumberFormat="1" applyFont="1" applyFill="1" applyAlignment="1">
      <alignment/>
    </xf>
    <xf numFmtId="165" fontId="126" fillId="27" borderId="18" xfId="42" applyNumberFormat="1" applyFont="1" applyFill="1" applyBorder="1" applyAlignment="1">
      <alignment/>
    </xf>
    <xf numFmtId="0" fontId="126" fillId="27" borderId="0" xfId="63" applyFont="1" applyFill="1" applyBorder="1" applyAlignment="1">
      <alignment/>
      <protection/>
    </xf>
    <xf numFmtId="0" fontId="116" fillId="27" borderId="0" xfId="0" applyFont="1" applyFill="1" applyAlignment="1">
      <alignment horizontal="left" indent="2"/>
    </xf>
    <xf numFmtId="0" fontId="131" fillId="27" borderId="0" xfId="0" applyFont="1" applyFill="1" applyAlignment="1">
      <alignment/>
    </xf>
    <xf numFmtId="0" fontId="132" fillId="27" borderId="0" xfId="0" applyFont="1" applyFill="1" applyAlignment="1">
      <alignment horizontal="left" indent="2"/>
    </xf>
    <xf numFmtId="0" fontId="126" fillId="27" borderId="0" xfId="0" applyFont="1" applyFill="1" applyAlignment="1">
      <alignment horizontal="left" indent="2"/>
    </xf>
    <xf numFmtId="43" fontId="126" fillId="27" borderId="0" xfId="42" applyFont="1" applyFill="1" applyAlignment="1">
      <alignment/>
    </xf>
    <xf numFmtId="43" fontId="126" fillId="27" borderId="0" xfId="0" applyNumberFormat="1" applyFont="1" applyFill="1" applyAlignment="1">
      <alignment/>
    </xf>
    <xf numFmtId="0" fontId="126" fillId="27" borderId="0" xfId="0" applyFont="1" applyFill="1" applyBorder="1" applyAlignment="1">
      <alignment horizontal="left"/>
    </xf>
    <xf numFmtId="165" fontId="126" fillId="27" borderId="33" xfId="42" applyNumberFormat="1" applyFont="1" applyFill="1" applyBorder="1" applyAlignment="1">
      <alignment horizontal="right"/>
    </xf>
    <xf numFmtId="0" fontId="106" fillId="27" borderId="11" xfId="63" applyFont="1" applyFill="1" applyBorder="1">
      <alignment/>
      <protection/>
    </xf>
    <xf numFmtId="165" fontId="79" fillId="27" borderId="11" xfId="42" applyNumberFormat="1" applyFont="1" applyFill="1" applyBorder="1" applyAlignment="1">
      <alignment/>
    </xf>
    <xf numFmtId="165" fontId="79" fillId="27" borderId="11" xfId="42" applyNumberFormat="1" applyFont="1" applyFill="1" applyBorder="1" applyAlignment="1" quotePrefix="1">
      <alignment horizontal="center"/>
    </xf>
    <xf numFmtId="165" fontId="79" fillId="27" borderId="11" xfId="42" applyNumberFormat="1" applyFont="1" applyFill="1" applyBorder="1" applyAlignment="1">
      <alignment horizontal="left"/>
    </xf>
    <xf numFmtId="165" fontId="106" fillId="27" borderId="11" xfId="42" applyNumberFormat="1" applyFont="1" applyFill="1" applyBorder="1" applyAlignment="1">
      <alignment/>
    </xf>
    <xf numFmtId="43" fontId="79" fillId="27" borderId="11" xfId="42" applyFont="1" applyFill="1" applyBorder="1" applyAlignment="1">
      <alignment/>
    </xf>
    <xf numFmtId="0" fontId="107" fillId="27" borderId="11" xfId="0" applyFont="1" applyFill="1" applyBorder="1" applyAlignment="1">
      <alignment/>
    </xf>
    <xf numFmtId="165" fontId="107" fillId="27" borderId="11" xfId="42" applyNumberFormat="1" applyFont="1" applyFill="1" applyBorder="1" applyAlignment="1">
      <alignment/>
    </xf>
    <xf numFmtId="165" fontId="107" fillId="27" borderId="11" xfId="42" applyNumberFormat="1" applyFont="1" applyFill="1" applyBorder="1" applyAlignment="1">
      <alignment horizontal="left"/>
    </xf>
    <xf numFmtId="0" fontId="52" fillId="27" borderId="0" xfId="0" applyFont="1" applyFill="1" applyAlignment="1">
      <alignment/>
    </xf>
    <xf numFmtId="0" fontId="51" fillId="27" borderId="11" xfId="0" applyFont="1" applyFill="1" applyBorder="1" applyAlignment="1">
      <alignment wrapText="1"/>
    </xf>
    <xf numFmtId="0" fontId="79" fillId="27" borderId="11" xfId="0" applyFont="1" applyFill="1" applyBorder="1" applyAlignment="1">
      <alignment/>
    </xf>
    <xf numFmtId="0" fontId="107" fillId="27" borderId="11" xfId="0" applyFont="1" applyFill="1" applyBorder="1" applyAlignment="1">
      <alignment/>
    </xf>
    <xf numFmtId="0" fontId="79" fillId="27" borderId="0" xfId="0" applyFont="1" applyFill="1" applyAlignment="1">
      <alignment/>
    </xf>
    <xf numFmtId="165" fontId="73" fillId="27" borderId="0" xfId="42" applyNumberFormat="1" applyFont="1" applyFill="1" applyBorder="1" applyAlignment="1">
      <alignment horizontal="left" vertical="top" indent="1" shrinkToFit="1"/>
    </xf>
    <xf numFmtId="0" fontId="100" fillId="27" borderId="0" xfId="0" applyFont="1" applyFill="1" applyAlignment="1">
      <alignment/>
    </xf>
    <xf numFmtId="0" fontId="100" fillId="27" borderId="0" xfId="0" applyFont="1" applyFill="1" applyAlignment="1">
      <alignment horizontal="center"/>
    </xf>
    <xf numFmtId="194" fontId="100" fillId="27" borderId="0" xfId="42" applyNumberFormat="1" applyFont="1" applyFill="1" applyAlignment="1">
      <alignment horizontal="right"/>
    </xf>
    <xf numFmtId="49" fontId="51" fillId="27" borderId="36" xfId="45" applyNumberFormat="1" applyFont="1" applyFill="1" applyBorder="1" applyAlignment="1">
      <alignment horizontal="right"/>
    </xf>
    <xf numFmtId="43" fontId="51" fillId="27" borderId="0" xfId="45" applyFont="1" applyFill="1" applyBorder="1" applyAlignment="1">
      <alignment horizontal="right"/>
    </xf>
    <xf numFmtId="43" fontId="51" fillId="27" borderId="0" xfId="45" applyFont="1" applyFill="1" applyAlignment="1">
      <alignment horizontal="right"/>
    </xf>
    <xf numFmtId="43" fontId="52" fillId="27" borderId="0" xfId="45" applyFont="1" applyFill="1" applyAlignment="1">
      <alignment/>
    </xf>
    <xf numFmtId="0" fontId="51" fillId="27" borderId="0" xfId="63" applyFont="1" applyFill="1">
      <alignment/>
      <protection/>
    </xf>
    <xf numFmtId="0" fontId="52" fillId="27" borderId="0" xfId="63" applyFont="1" applyFill="1">
      <alignment/>
      <protection/>
    </xf>
    <xf numFmtId="3" fontId="51" fillId="27" borderId="0" xfId="63" applyNumberFormat="1" applyFont="1" applyFill="1">
      <alignment/>
      <protection/>
    </xf>
    <xf numFmtId="165" fontId="52" fillId="27" borderId="0" xfId="45" applyNumberFormat="1" applyFont="1" applyFill="1" applyAlignment="1">
      <alignment horizontal="right"/>
    </xf>
    <xf numFmtId="165" fontId="51" fillId="27" borderId="0" xfId="45" applyNumberFormat="1" applyFont="1" applyFill="1" applyBorder="1" applyAlignment="1">
      <alignment horizontal="right"/>
    </xf>
    <xf numFmtId="165" fontId="51" fillId="27" borderId="0" xfId="45" applyNumberFormat="1" applyFont="1" applyFill="1" applyAlignment="1">
      <alignment horizontal="right"/>
    </xf>
    <xf numFmtId="165" fontId="52" fillId="27" borderId="0" xfId="45" applyNumberFormat="1" applyFont="1" applyFill="1" applyBorder="1" applyAlignment="1">
      <alignment horizontal="right"/>
    </xf>
    <xf numFmtId="3" fontId="52" fillId="27" borderId="0" xfId="63" applyNumberFormat="1" applyFont="1" applyFill="1">
      <alignment/>
      <protection/>
    </xf>
    <xf numFmtId="165" fontId="52" fillId="27" borderId="0" xfId="45" applyNumberFormat="1" applyFont="1" applyFill="1" applyAlignment="1">
      <alignment/>
    </xf>
    <xf numFmtId="165" fontId="52" fillId="27" borderId="0" xfId="45" applyNumberFormat="1" applyFont="1" applyFill="1" applyBorder="1" applyAlignment="1">
      <alignment/>
    </xf>
    <xf numFmtId="165" fontId="51" fillId="27" borderId="0" xfId="45" applyNumberFormat="1" applyFont="1" applyFill="1" applyAlignment="1">
      <alignment/>
    </xf>
    <xf numFmtId="165" fontId="52" fillId="27" borderId="18" xfId="45" applyNumberFormat="1" applyFont="1" applyFill="1" applyBorder="1" applyAlignment="1">
      <alignment/>
    </xf>
    <xf numFmtId="165" fontId="51" fillId="27" borderId="10" xfId="45" applyNumberFormat="1" applyFont="1" applyFill="1" applyBorder="1" applyAlignment="1">
      <alignment/>
    </xf>
    <xf numFmtId="165" fontId="51" fillId="27" borderId="0" xfId="45" applyNumberFormat="1" applyFont="1" applyFill="1" applyBorder="1" applyAlignment="1">
      <alignment/>
    </xf>
    <xf numFmtId="165" fontId="51" fillId="27" borderId="10" xfId="45" applyNumberFormat="1" applyFont="1" applyFill="1" applyBorder="1" applyAlignment="1">
      <alignment horizontal="right"/>
    </xf>
    <xf numFmtId="165" fontId="86" fillId="27" borderId="37" xfId="45" applyNumberFormat="1" applyFont="1" applyFill="1" applyBorder="1" applyAlignment="1">
      <alignment/>
    </xf>
    <xf numFmtId="0" fontId="116" fillId="27" borderId="0" xfId="0" applyFont="1" applyFill="1" applyAlignment="1">
      <alignment horizontal="left"/>
    </xf>
    <xf numFmtId="0" fontId="133" fillId="27" borderId="0" xfId="0" applyFont="1" applyFill="1" applyAlignment="1">
      <alignment/>
    </xf>
    <xf numFmtId="0" fontId="134" fillId="27" borderId="0" xfId="0" applyFont="1" applyFill="1" applyAlignment="1">
      <alignment/>
    </xf>
    <xf numFmtId="0" fontId="135" fillId="27" borderId="0" xfId="0" applyFont="1" applyFill="1" applyAlignment="1">
      <alignment/>
    </xf>
    <xf numFmtId="165" fontId="121" fillId="27" borderId="11" xfId="42" applyNumberFormat="1" applyFont="1" applyFill="1" applyBorder="1" applyAlignment="1">
      <alignment/>
    </xf>
    <xf numFmtId="165" fontId="93" fillId="0" borderId="43" xfId="42" applyNumberFormat="1" applyFont="1" applyBorder="1" applyAlignment="1">
      <alignment/>
    </xf>
    <xf numFmtId="3" fontId="128" fillId="27" borderId="0" xfId="0" applyNumberFormat="1" applyFont="1" applyFill="1" applyBorder="1" applyAlignment="1">
      <alignment vertical="top"/>
    </xf>
    <xf numFmtId="43" fontId="128" fillId="27" borderId="0" xfId="42" applyFont="1" applyFill="1" applyBorder="1" applyAlignment="1">
      <alignment vertical="top"/>
    </xf>
    <xf numFmtId="3" fontId="130" fillId="27" borderId="0" xfId="0" applyNumberFormat="1" applyFont="1" applyFill="1" applyBorder="1" applyAlignment="1">
      <alignment vertical="top"/>
    </xf>
    <xf numFmtId="165" fontId="116" fillId="27" borderId="36" xfId="42" applyNumberFormat="1" applyFont="1" applyFill="1" applyBorder="1" applyAlignment="1">
      <alignment/>
    </xf>
    <xf numFmtId="43" fontId="108" fillId="27" borderId="0" xfId="42" applyNumberFormat="1" applyFont="1" applyFill="1" applyBorder="1" applyAlignment="1">
      <alignment/>
    </xf>
    <xf numFmtId="165" fontId="92" fillId="27" borderId="0" xfId="42" applyNumberFormat="1" applyFont="1" applyFill="1" applyBorder="1" applyAlignment="1">
      <alignment/>
    </xf>
    <xf numFmtId="43" fontId="98" fillId="27" borderId="11" xfId="42" applyFont="1" applyFill="1" applyBorder="1" applyAlignment="1">
      <alignment vertical="top"/>
    </xf>
    <xf numFmtId="188" fontId="98" fillId="27" borderId="0" xfId="0" applyNumberFormat="1" applyFont="1" applyFill="1" applyBorder="1" applyAlignment="1">
      <alignment vertical="top"/>
    </xf>
    <xf numFmtId="0" fontId="55" fillId="27" borderId="0" xfId="63" applyFont="1" applyFill="1" applyBorder="1" applyAlignment="1">
      <alignment/>
      <protection/>
    </xf>
    <xf numFmtId="0" fontId="55" fillId="27" borderId="0" xfId="63" applyFont="1" applyFill="1" applyBorder="1" applyAlignment="1">
      <alignment horizontal="right"/>
      <protection/>
    </xf>
    <xf numFmtId="1" fontId="52" fillId="27" borderId="0" xfId="0" applyNumberFormat="1" applyFont="1" applyFill="1" applyAlignment="1">
      <alignment/>
    </xf>
    <xf numFmtId="0" fontId="109" fillId="0" borderId="0" xfId="0" applyFont="1" applyAlignment="1">
      <alignment/>
    </xf>
    <xf numFmtId="0" fontId="52" fillId="27" borderId="0" xfId="0" applyFont="1" applyFill="1" applyBorder="1" applyAlignment="1">
      <alignment vertical="justify"/>
    </xf>
    <xf numFmtId="165" fontId="0" fillId="0" borderId="0" xfId="0" applyNumberFormat="1" applyFont="1" applyAlignment="1">
      <alignment/>
    </xf>
    <xf numFmtId="0" fontId="52" fillId="0" borderId="0" xfId="0" applyFont="1" applyFill="1" applyAlignment="1">
      <alignment horizontal="left"/>
    </xf>
    <xf numFmtId="0" fontId="52" fillId="27" borderId="0" xfId="0" applyFont="1" applyFill="1" applyAlignment="1">
      <alignment horizontal="left"/>
    </xf>
    <xf numFmtId="0" fontId="102" fillId="27" borderId="0" xfId="0" applyFont="1" applyFill="1" applyAlignment="1">
      <alignment horizontal="center" vertical="top"/>
    </xf>
    <xf numFmtId="0" fontId="96" fillId="27" borderId="0" xfId="0" applyFont="1" applyFill="1" applyAlignment="1">
      <alignment horizontal="center" vertical="top"/>
    </xf>
    <xf numFmtId="4" fontId="103" fillId="27" borderId="0" xfId="0" applyNumberFormat="1" applyFont="1" applyFill="1" applyAlignment="1">
      <alignment horizontal="right" vertical="top"/>
    </xf>
    <xf numFmtId="0" fontId="121" fillId="27" borderId="12" xfId="0" applyFont="1" applyFill="1" applyBorder="1" applyAlignment="1">
      <alignment horizontal="left" vertical="top" wrapText="1"/>
    </xf>
    <xf numFmtId="0" fontId="121" fillId="27" borderId="70" xfId="0" applyFont="1" applyFill="1" applyBorder="1" applyAlignment="1">
      <alignment horizontal="left" vertical="top" wrapText="1"/>
    </xf>
    <xf numFmtId="0" fontId="55" fillId="27" borderId="0" xfId="63" applyFont="1" applyFill="1" applyBorder="1" applyAlignment="1">
      <alignment/>
      <protection/>
    </xf>
    <xf numFmtId="0" fontId="55" fillId="27" borderId="36" xfId="63" applyFont="1" applyFill="1" applyBorder="1" applyAlignment="1">
      <alignment horizontal="center"/>
      <protection/>
    </xf>
    <xf numFmtId="0" fontId="55" fillId="27" borderId="0" xfId="63" applyFont="1" applyFill="1" applyBorder="1" applyAlignment="1">
      <alignment horizontal="right"/>
      <protection/>
    </xf>
    <xf numFmtId="0" fontId="100" fillId="27" borderId="18" xfId="63" applyFont="1" applyFill="1" applyBorder="1" applyAlignment="1">
      <alignment horizontal="center" wrapText="1"/>
      <protection/>
    </xf>
    <xf numFmtId="0" fontId="100" fillId="27" borderId="36" xfId="63" applyFont="1" applyFill="1" applyBorder="1" applyAlignment="1">
      <alignment horizontal="center" wrapText="1"/>
      <protection/>
    </xf>
    <xf numFmtId="0" fontId="55" fillId="27" borderId="18" xfId="63" applyFont="1" applyFill="1" applyBorder="1" applyAlignment="1">
      <alignment horizontal="center" wrapText="1"/>
      <protection/>
    </xf>
    <xf numFmtId="0" fontId="55" fillId="27" borderId="36" xfId="63" applyFont="1" applyFill="1" applyBorder="1" applyAlignment="1">
      <alignment horizontal="center" wrapText="1"/>
      <protection/>
    </xf>
    <xf numFmtId="0" fontId="73" fillId="0" borderId="0" xfId="0" applyFont="1" applyBorder="1" applyAlignment="1">
      <alignment vertical="top" wrapText="1"/>
    </xf>
    <xf numFmtId="0" fontId="52" fillId="0" borderId="0" xfId="0" applyFont="1" applyFill="1" applyAlignment="1">
      <alignment horizontal="left" wrapText="1"/>
    </xf>
    <xf numFmtId="0" fontId="73" fillId="0" borderId="0" xfId="0" applyFont="1" applyAlignment="1">
      <alignment horizontal="left" vertical="top" wrapText="1"/>
    </xf>
    <xf numFmtId="0" fontId="55" fillId="0" borderId="0" xfId="63" applyFont="1" applyBorder="1" applyAlignment="1">
      <alignment/>
      <protection/>
    </xf>
    <xf numFmtId="0" fontId="55" fillId="0" borderId="0" xfId="63" applyFont="1" applyBorder="1" applyAlignment="1">
      <alignment horizontal="right"/>
      <protection/>
    </xf>
    <xf numFmtId="0" fontId="55" fillId="0" borderId="36" xfId="63" applyFont="1" applyBorder="1" applyAlignment="1">
      <alignment horizontal="center"/>
      <protection/>
    </xf>
    <xf numFmtId="0" fontId="52" fillId="0" borderId="12" xfId="0" applyFont="1" applyBorder="1" applyAlignment="1">
      <alignment horizontal="left" vertical="top" wrapText="1"/>
    </xf>
    <xf numFmtId="0" fontId="52" fillId="0" borderId="10" xfId="0" applyFont="1" applyBorder="1" applyAlignment="1">
      <alignment horizontal="left" vertical="top" wrapText="1"/>
    </xf>
    <xf numFmtId="0" fontId="52" fillId="0" borderId="70" xfId="0" applyFont="1" applyBorder="1" applyAlignment="1">
      <alignment horizontal="left" vertical="top" wrapText="1"/>
    </xf>
    <xf numFmtId="0" fontId="73" fillId="0" borderId="0" xfId="0" applyFont="1" applyAlignment="1">
      <alignment vertical="top" wrapText="1"/>
    </xf>
    <xf numFmtId="0" fontId="52" fillId="0" borderId="12" xfId="0" applyFont="1" applyBorder="1" applyAlignment="1">
      <alignment horizontal="left" vertical="top"/>
    </xf>
    <xf numFmtId="0" fontId="52" fillId="0" borderId="10" xfId="0" applyFont="1" applyBorder="1" applyAlignment="1">
      <alignment horizontal="left" vertical="top"/>
    </xf>
    <xf numFmtId="0" fontId="52" fillId="0" borderId="70" xfId="0" applyFont="1" applyBorder="1" applyAlignment="1">
      <alignment horizontal="left" vertical="top"/>
    </xf>
    <xf numFmtId="0" fontId="80" fillId="0" borderId="44" xfId="0" applyFont="1" applyBorder="1" applyAlignment="1">
      <alignment horizontal="center"/>
    </xf>
    <xf numFmtId="0" fontId="80" fillId="0" borderId="63" xfId="0" applyFont="1" applyBorder="1" applyAlignment="1">
      <alignment horizontal="center"/>
    </xf>
    <xf numFmtId="0" fontId="52" fillId="27" borderId="17" xfId="0" applyFont="1" applyFill="1" applyBorder="1" applyAlignment="1">
      <alignment horizontal="center"/>
    </xf>
    <xf numFmtId="0" fontId="52" fillId="27" borderId="19" xfId="0" applyFont="1" applyFill="1" applyBorder="1" applyAlignment="1">
      <alignment horizontal="center"/>
    </xf>
    <xf numFmtId="165" fontId="79" fillId="27" borderId="17" xfId="42" applyNumberFormat="1" applyFont="1" applyFill="1" applyBorder="1" applyAlignment="1">
      <alignment horizontal="center"/>
    </xf>
    <xf numFmtId="165" fontId="79" fillId="27" borderId="19" xfId="42" applyNumberFormat="1" applyFont="1" applyFill="1" applyBorder="1" applyAlignment="1">
      <alignment horizontal="center"/>
    </xf>
    <xf numFmtId="165" fontId="136" fillId="27" borderId="17" xfId="42" applyNumberFormat="1" applyFont="1" applyFill="1" applyBorder="1" applyAlignment="1">
      <alignment horizontal="center"/>
    </xf>
    <xf numFmtId="165" fontId="136" fillId="27" borderId="19" xfId="42" applyNumberFormat="1" applyFont="1" applyFill="1" applyBorder="1" applyAlignment="1">
      <alignment horizontal="center"/>
    </xf>
    <xf numFmtId="0" fontId="73" fillId="27" borderId="17" xfId="63" applyFont="1" applyFill="1" applyBorder="1" applyAlignment="1">
      <alignment horizontal="center"/>
      <protection/>
    </xf>
    <xf numFmtId="0" fontId="73" fillId="27" borderId="19" xfId="63" applyFont="1" applyFill="1" applyBorder="1" applyAlignment="1">
      <alignment horizontal="center"/>
      <protection/>
    </xf>
    <xf numFmtId="0" fontId="79" fillId="27" borderId="17" xfId="0" applyFont="1" applyFill="1" applyBorder="1" applyAlignment="1">
      <alignment/>
    </xf>
    <xf numFmtId="0" fontId="79" fillId="27" borderId="19" xfId="0" applyFont="1" applyFill="1" applyBorder="1" applyAlignment="1">
      <alignment/>
    </xf>
    <xf numFmtId="165" fontId="79" fillId="27" borderId="17" xfId="42" applyNumberFormat="1" applyFont="1" applyFill="1" applyBorder="1" applyAlignment="1" quotePrefix="1">
      <alignment horizontal="center"/>
    </xf>
    <xf numFmtId="165" fontId="79" fillId="27" borderId="19" xfId="42" applyNumberFormat="1" applyFont="1" applyFill="1" applyBorder="1" applyAlignment="1" quotePrefix="1">
      <alignment horizontal="center"/>
    </xf>
    <xf numFmtId="0" fontId="106" fillId="27" borderId="17" xfId="63" applyFont="1" applyFill="1" applyBorder="1" applyAlignment="1">
      <alignment horizontal="left" wrapText="1"/>
      <protection/>
    </xf>
    <xf numFmtId="0" fontId="106" fillId="27" borderId="19" xfId="63" applyFont="1" applyFill="1" applyBorder="1" applyAlignment="1">
      <alignment horizontal="left" wrapText="1"/>
      <protection/>
    </xf>
    <xf numFmtId="0" fontId="106" fillId="27" borderId="17" xfId="63" applyFont="1" applyFill="1" applyBorder="1" applyAlignment="1">
      <alignment wrapText="1"/>
      <protection/>
    </xf>
    <xf numFmtId="0" fontId="106" fillId="27" borderId="19" xfId="63" applyFont="1" applyFill="1" applyBorder="1" applyAlignment="1">
      <alignment wrapText="1"/>
      <protection/>
    </xf>
    <xf numFmtId="0" fontId="51" fillId="0" borderId="56" xfId="0" applyFont="1" applyBorder="1" applyAlignment="1">
      <alignment horizontal="center"/>
    </xf>
    <xf numFmtId="0" fontId="51" fillId="0" borderId="57" xfId="0" applyFont="1" applyBorder="1" applyAlignment="1">
      <alignment horizontal="center"/>
    </xf>
    <xf numFmtId="0" fontId="48" fillId="0" borderId="0" xfId="0" applyFont="1" applyBorder="1" applyAlignment="1">
      <alignment vertical="top" wrapText="1"/>
    </xf>
    <xf numFmtId="0" fontId="48" fillId="0" borderId="0" xfId="0" applyFont="1" applyAlignment="1">
      <alignment horizontal="right" vertical="top" wrapText="1"/>
    </xf>
    <xf numFmtId="0" fontId="0" fillId="0" borderId="0" xfId="0" applyFont="1" applyAlignment="1">
      <alignment horizontal="left" wrapText="1"/>
    </xf>
    <xf numFmtId="0" fontId="49" fillId="0" borderId="0" xfId="0" applyFont="1" applyAlignment="1">
      <alignment vertical="top" wrapText="1"/>
    </xf>
    <xf numFmtId="0" fontId="48" fillId="0" borderId="0" xfId="0" applyFont="1" applyAlignment="1">
      <alignment horizontal="center"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BudVsActN" xfId="46"/>
    <cellStyle name="Comma_YEAR- END 2006(2)"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IS-F" xfId="62"/>
    <cellStyle name="Normal_uwezo council simplified" xfId="63"/>
    <cellStyle name="Normal_YEAR- END 2006(2)" xfId="64"/>
    <cellStyle name="Normal_YEAR-END ACCOUNTS 2005 (FINALVERSION)"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L%20ACCOUNTS%202016\Users\LGA\Desktop\LGA%20TZ%20Model%20IPSAS%20Local%20Government%20Financial%20Statemen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ACCOUNTS%202016\LGAIPSAS\LGA%20IPSAS%20Financial%20Statements\LGA%20TZ%20Model%20IPSAS%20Local%20Government%20Financial%20Statements%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ACCOUNTS%202016\Users\LGA\Desktop\BABATI%20DC%20-%20FINAL%20ACCOUNTS%20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SER\Desktop\REVISED\FINAL%20ACCOUNTS%202016\LGAIPSAS\LGA%20IPSAS%20Financial%20Statements\LGA%20TZ%20Model%20IPSAS%20Local%20Government%20Financial%20Statements%202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USER\Desktop\REVISED\0..BABATI%20DC%20-%20Final%20Accounts%202015-2016%20FINAL%20DRAFT%20(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05"/>
      <sheetName val="TB06"/>
      <sheetName val="BS"/>
      <sheetName val="IS"/>
      <sheetName val="SCNA"/>
      <sheetName val="CF"/>
      <sheetName val="IS-F"/>
      <sheetName val="BudVsActN"/>
      <sheetName val="BudVsActF"/>
      <sheetName val="Notes"/>
      <sheetName val="ExpAnaly1"/>
      <sheetName val="ExpAnaly2"/>
      <sheetName val="PPE1"/>
      <sheetName val="PPE2"/>
      <sheetName val="PPE3"/>
      <sheetName val="Intang"/>
      <sheetName val="Risk"/>
      <sheetName val="BudVsActExp"/>
      <sheetName val="Segment"/>
      <sheetName val="Info Analy"/>
      <sheetName val="Capex"/>
      <sheetName val="Sheet1"/>
      <sheetName val="Int risk"/>
    </sheetNames>
    <sheetDataSet>
      <sheetData sheetId="9">
        <row r="1">
          <cell r="A1" t="str">
            <v>THE UNITED REPUBLIC OF TANZANIA</v>
          </cell>
        </row>
        <row r="2">
          <cell r="A2" t="str">
            <v>PRIME MINISTER’S OFFICE - REGIONAL ADMINISTRATION AND LOCAL GOVERNMENT</v>
          </cell>
        </row>
        <row r="3">
          <cell r="A3" t="str">
            <v>BABATI DISTRICT COUNCIL</v>
          </cell>
        </row>
        <row r="5">
          <cell r="A5" t="str">
            <v>NOTES TO THE FINANCIAL STATEMENTS (Continued)</v>
          </cell>
        </row>
        <row r="6">
          <cell r="A6" t="str">
            <v>FOR THE YEAR ENDED 30 JUNE 2009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B05"/>
      <sheetName val="TB06"/>
      <sheetName val="BS"/>
      <sheetName val="IS"/>
      <sheetName val="SCNA"/>
      <sheetName val="CF"/>
      <sheetName val="IS-F"/>
      <sheetName val="BudVsActN"/>
      <sheetName val="BudVsActF"/>
      <sheetName val="Notes"/>
      <sheetName val="ExpAnaly1"/>
      <sheetName val="ExpAnaly2"/>
      <sheetName val="PPE1"/>
      <sheetName val="PPE2"/>
      <sheetName val="PPE3"/>
      <sheetName val="Intang"/>
      <sheetName val="Risk"/>
      <sheetName val="BudVsActExp"/>
      <sheetName val="Segment"/>
      <sheetName val="Info Analy"/>
      <sheetName val="Capex"/>
      <sheetName val="Int risk"/>
    </sheetNames>
    <sheetDataSet>
      <sheetData sheetId="9">
        <row r="1">
          <cell r="A1" t="str">
            <v>THE UNITED REPUBLIC OF TANZANIA</v>
          </cell>
        </row>
        <row r="2">
          <cell r="A2" t="str">
            <v>PRIME MINISTER’S OFFICE - REGIONAL ADMINISTRATION AND LOCAL GOVERNMENT</v>
          </cell>
        </row>
        <row r="5">
          <cell r="A5" t="str">
            <v>NOTES TO THE FINANCIAL STATEMENTS (Continued)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05"/>
      <sheetName val="TB06"/>
      <sheetName val="BS"/>
      <sheetName val="IS"/>
      <sheetName val="SCNA"/>
      <sheetName val="SCNA copy"/>
      <sheetName val="CF"/>
      <sheetName val="IS-F"/>
      <sheetName val="BudVsActN"/>
      <sheetName val="BudVsActF"/>
      <sheetName val="Working TB"/>
      <sheetName val="Adjusted tb"/>
      <sheetName val="Sheet1"/>
      <sheetName val="Notes"/>
      <sheetName val="ExpAnaly1"/>
      <sheetName val="ExpAnaly2"/>
      <sheetName val="PPE1"/>
      <sheetName val="PPE2"/>
      <sheetName val="PPE3"/>
      <sheetName val="Intang"/>
      <sheetName val="Risk"/>
      <sheetName val="BudVsActExp"/>
      <sheetName val="Segment"/>
      <sheetName val="Info Analy"/>
      <sheetName val="Capex"/>
      <sheetName val="Int risk"/>
    </sheetNames>
    <sheetDataSet>
      <sheetData sheetId="3">
        <row r="19">
          <cell r="A19" t="str">
            <v>Wages, salaries and employee benefits</v>
          </cell>
        </row>
        <row r="20">
          <cell r="A20" t="str">
            <v>Supplies and consumables used</v>
          </cell>
        </row>
        <row r="21">
          <cell r="A21" t="str">
            <v>Maintenance expenses</v>
          </cell>
        </row>
        <row r="23">
          <cell r="A23" t="str">
            <v>Depreciation of property, plant and equipment</v>
          </cell>
        </row>
      </sheetData>
      <sheetData sheetId="7">
        <row r="21">
          <cell r="A21" t="str">
            <v>Administration</v>
          </cell>
        </row>
        <row r="22">
          <cell r="A22" t="str">
            <v>Human resource management and development</v>
          </cell>
        </row>
        <row r="23">
          <cell r="A23" t="str">
            <v>Finance</v>
          </cell>
        </row>
        <row r="24">
          <cell r="A24" t="str">
            <v>Trade and economic affairs</v>
          </cell>
        </row>
        <row r="25">
          <cell r="A25" t="str">
            <v>Livestock</v>
          </cell>
        </row>
        <row r="27">
          <cell r="A27" t="str">
            <v>Agriculture</v>
          </cell>
        </row>
        <row r="28">
          <cell r="A28" t="str">
            <v>Education</v>
          </cell>
        </row>
        <row r="29">
          <cell r="A29" t="str">
            <v>Primary health services</v>
          </cell>
        </row>
        <row r="30">
          <cell r="A30" t="str">
            <v>Water</v>
          </cell>
        </row>
        <row r="31">
          <cell r="A31" t="str">
            <v>Works</v>
          </cell>
        </row>
        <row r="32">
          <cell r="A32" t="str">
            <v>Lands</v>
          </cell>
        </row>
        <row r="33">
          <cell r="A33" t="str">
            <v>Natural resources</v>
          </cell>
        </row>
        <row r="34">
          <cell r="A34" t="str">
            <v>Community development, gender and children</v>
          </cell>
        </row>
      </sheetData>
      <sheetData sheetId="13">
        <row r="1">
          <cell r="A1" t="str">
            <v>THE UNITED REPUBLIC OF TANZANIA</v>
          </cell>
        </row>
        <row r="2">
          <cell r="A2" t="str">
            <v>PRIME MINISTER’S OFFICE - REGIONAL ADMINISTRATION AND LOCAL GOVERNMENT</v>
          </cell>
        </row>
        <row r="3">
          <cell r="A3" t="str">
            <v>BABATI DISTRICT COUNCIL</v>
          </cell>
        </row>
        <row r="5">
          <cell r="A5" t="str">
            <v>NOTES TO THE FINANCIAL STATEMENTS (Continued)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5"/>
      <sheetName val="TB06"/>
      <sheetName val="BS"/>
      <sheetName val="IS"/>
      <sheetName val="SCNA"/>
      <sheetName val="CF"/>
      <sheetName val="IS-F"/>
      <sheetName val="BudVsActN"/>
      <sheetName val="BudVsActF"/>
      <sheetName val="Notes"/>
      <sheetName val="ExpAnaly1"/>
      <sheetName val="ExpAnaly2"/>
      <sheetName val="PPE1"/>
      <sheetName val="PPE2"/>
      <sheetName val="PPE3"/>
      <sheetName val="Intang"/>
      <sheetName val="Risk"/>
      <sheetName val="BudVsActExp"/>
      <sheetName val="Segment"/>
      <sheetName val="Info Analy"/>
      <sheetName val="Capex"/>
      <sheetName val="Int risk"/>
    </sheetNames>
    <sheetDataSet>
      <sheetData sheetId="9">
        <row r="1">
          <cell r="A1" t="str">
            <v>THE UNITED REPUBLIC OF TANZANIA</v>
          </cell>
        </row>
        <row r="2">
          <cell r="A2" t="str">
            <v>PRIME MINISTER’S OFFICE - REGIONAL ADMINISTRATION AND LOCAL GOVERNMENT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05"/>
      <sheetName val="TB06"/>
      <sheetName val="IS"/>
      <sheetName val="IS-F"/>
      <sheetName val="SCNA"/>
      <sheetName val="CFS - DIRECT"/>
      <sheetName val="BS"/>
      <sheetName val="BudVsActN"/>
      <sheetName val="BudVsActF"/>
      <sheetName val="Consolidated Trial Balance 2016"/>
      <sheetName val="PPE1"/>
      <sheetName val="ExpAnaly1"/>
      <sheetName val="ExpAnaly2"/>
      <sheetName val="PPE3"/>
      <sheetName val="Risk"/>
      <sheetName val="Intang"/>
      <sheetName val="Notes"/>
      <sheetName val="PPE2"/>
      <sheetName val="BudVsActExp"/>
      <sheetName val="Segment"/>
      <sheetName val="Capex"/>
      <sheetName val="Info Analy"/>
      <sheetName val="Int risk"/>
      <sheetName val="Sheet1"/>
      <sheetName val="Sheet2"/>
    </sheetNames>
    <sheetDataSet>
      <sheetData sheetId="16">
        <row r="5">
          <cell r="A5" t="str">
            <v>NOTES TO THE FINANCIAL STATEMENTS (Continued)</v>
          </cell>
        </row>
        <row r="6">
          <cell r="A6" t="str">
            <v>FOR THE YEAR ENDED 30 JUNE 2016</v>
          </cell>
        </row>
        <row r="268">
          <cell r="A268">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481"/>
  <sheetViews>
    <sheetView zoomScalePageLayoutView="0" workbookViewId="0" topLeftCell="D1024">
      <selection activeCell="G1034" sqref="G1034"/>
    </sheetView>
  </sheetViews>
  <sheetFormatPr defaultColWidth="8.00390625" defaultRowHeight="15.75"/>
  <cols>
    <col min="1" max="2" width="8.00390625" style="9" customWidth="1"/>
    <col min="3" max="3" width="12.00390625" style="9" customWidth="1"/>
    <col min="4" max="4" width="37.75390625" style="9" customWidth="1"/>
    <col min="5" max="5" width="10.25390625" style="9" customWidth="1"/>
    <col min="6" max="6" width="11.75390625" style="9" customWidth="1"/>
    <col min="7" max="7" width="19.875" style="9" customWidth="1"/>
    <col min="8" max="8" width="20.25390625" style="9" customWidth="1"/>
    <col min="9" max="9" width="12.50390625" style="9" customWidth="1"/>
    <col min="10" max="11" width="13.00390625" style="9" customWidth="1"/>
    <col min="12" max="12" width="14.75390625" style="9" customWidth="1"/>
    <col min="13" max="13" width="14.875" style="9" customWidth="1"/>
    <col min="14" max="20" width="8.00390625" style="9" customWidth="1"/>
    <col min="21" max="21" width="19.00390625" style="9" customWidth="1"/>
    <col min="22" max="16384" width="8.00390625" style="9" customWidth="1"/>
  </cols>
  <sheetData>
    <row r="1" spans="1:8" ht="15">
      <c r="A1" s="28" t="s">
        <v>1111</v>
      </c>
      <c r="B1" s="29"/>
      <c r="C1" s="23"/>
      <c r="D1" s="23"/>
      <c r="E1" s="23"/>
      <c r="F1" s="23"/>
      <c r="G1" s="23"/>
      <c r="H1" s="23"/>
    </row>
    <row r="2" spans="1:8" ht="15">
      <c r="A2" s="30"/>
      <c r="B2" s="31"/>
      <c r="C2" s="32"/>
      <c r="D2" s="32"/>
      <c r="E2" s="32"/>
      <c r="F2" s="32"/>
      <c r="G2" s="32"/>
      <c r="H2" s="32"/>
    </row>
    <row r="3" spans="1:8" ht="15">
      <c r="A3" s="33" t="s">
        <v>1614</v>
      </c>
      <c r="B3" s="34"/>
      <c r="C3" s="35"/>
      <c r="D3" s="28"/>
      <c r="E3" s="23"/>
      <c r="F3" s="23"/>
      <c r="G3" s="23"/>
      <c r="H3" s="23"/>
    </row>
    <row r="4" spans="1:8" ht="15">
      <c r="A4" s="36"/>
      <c r="B4" s="36"/>
      <c r="C4" s="36"/>
      <c r="D4" s="30"/>
      <c r="E4" s="32"/>
      <c r="F4" s="32"/>
      <c r="G4" s="51">
        <f>TB06!G8-TB05!G8</f>
        <v>4371508</v>
      </c>
      <c r="H4" s="51">
        <f>TB06!H9-TB05!H9</f>
        <v>5875783</v>
      </c>
    </row>
    <row r="5" spans="1:8" ht="15">
      <c r="A5" s="22" t="s">
        <v>1615</v>
      </c>
      <c r="B5" s="22" t="s">
        <v>1616</v>
      </c>
      <c r="C5" s="22" t="s">
        <v>1617</v>
      </c>
      <c r="D5" s="23" t="s">
        <v>1618</v>
      </c>
      <c r="E5" s="23"/>
      <c r="F5" s="23"/>
      <c r="G5" s="37"/>
      <c r="H5" s="37"/>
    </row>
    <row r="6" spans="1:8" ht="15">
      <c r="A6" s="36"/>
      <c r="B6" s="36"/>
      <c r="C6" s="22" t="s">
        <v>1619</v>
      </c>
      <c r="D6" s="32"/>
      <c r="E6" s="32"/>
      <c r="F6" s="32"/>
      <c r="G6" s="37" t="s">
        <v>1620</v>
      </c>
      <c r="H6" s="37" t="s">
        <v>1621</v>
      </c>
    </row>
    <row r="7" spans="1:8" ht="15">
      <c r="A7" s="36"/>
      <c r="B7" s="36"/>
      <c r="C7" s="22"/>
      <c r="D7" s="32"/>
      <c r="E7" s="38"/>
      <c r="F7" s="38"/>
      <c r="G7" s="38"/>
      <c r="H7" s="38"/>
    </row>
    <row r="8" spans="1:8" ht="15">
      <c r="A8" s="39" t="s">
        <v>1622</v>
      </c>
      <c r="B8" s="36"/>
      <c r="C8" s="22"/>
      <c r="D8" s="32" t="s">
        <v>1623</v>
      </c>
      <c r="E8" s="38"/>
      <c r="F8" s="38"/>
      <c r="G8" s="40">
        <v>272010529</v>
      </c>
      <c r="H8" s="41"/>
    </row>
    <row r="9" spans="1:9" ht="15">
      <c r="A9" s="39" t="s">
        <v>1624</v>
      </c>
      <c r="B9" s="36"/>
      <c r="C9" s="22"/>
      <c r="D9" s="32" t="s">
        <v>1625</v>
      </c>
      <c r="E9" s="38"/>
      <c r="F9" s="38"/>
      <c r="G9" s="40"/>
      <c r="H9" s="41">
        <v>55443723</v>
      </c>
      <c r="I9" s="42"/>
    </row>
    <row r="10" spans="1:8" ht="15">
      <c r="A10" s="39" t="s">
        <v>1626</v>
      </c>
      <c r="B10" s="36"/>
      <c r="C10" s="22"/>
      <c r="D10" s="32" t="s">
        <v>1640</v>
      </c>
      <c r="E10" s="38"/>
      <c r="F10" s="38"/>
      <c r="G10" s="40">
        <v>1101568077</v>
      </c>
      <c r="H10" s="41"/>
    </row>
    <row r="11" spans="1:8" ht="15">
      <c r="A11" s="39" t="s">
        <v>1641</v>
      </c>
      <c r="B11" s="36"/>
      <c r="C11" s="22"/>
      <c r="D11" s="32" t="s">
        <v>1642</v>
      </c>
      <c r="E11" s="38"/>
      <c r="F11" s="38"/>
      <c r="G11" s="40"/>
      <c r="H11" s="41">
        <f>321194568-348648</f>
        <v>320845920</v>
      </c>
    </row>
    <row r="12" spans="1:8" ht="15">
      <c r="A12" s="39" t="s">
        <v>1643</v>
      </c>
      <c r="B12" s="36"/>
      <c r="C12" s="22"/>
      <c r="D12" s="32" t="s">
        <v>1644</v>
      </c>
      <c r="E12" s="38"/>
      <c r="F12" s="38"/>
      <c r="G12" s="40">
        <v>29632987570</v>
      </c>
      <c r="H12" s="41"/>
    </row>
    <row r="13" spans="1:8" ht="15">
      <c r="A13" s="39" t="s">
        <v>1645</v>
      </c>
      <c r="B13" s="36"/>
      <c r="C13" s="22"/>
      <c r="D13" s="32" t="s">
        <v>918</v>
      </c>
      <c r="E13" s="24"/>
      <c r="F13" s="38"/>
      <c r="G13" s="40"/>
      <c r="H13" s="41">
        <f>6515783229+235323106-106402</f>
        <v>6750999933</v>
      </c>
    </row>
    <row r="14" spans="1:8" ht="15">
      <c r="A14" s="39" t="s">
        <v>919</v>
      </c>
      <c r="B14" s="36"/>
      <c r="C14" s="22"/>
      <c r="D14" s="32" t="s">
        <v>920</v>
      </c>
      <c r="E14" s="38"/>
      <c r="F14" s="38"/>
      <c r="G14" s="40">
        <v>0</v>
      </c>
      <c r="H14" s="41"/>
    </row>
    <row r="15" spans="1:21" ht="15">
      <c r="A15" s="39" t="s">
        <v>921</v>
      </c>
      <c r="B15" s="36"/>
      <c r="C15" s="22"/>
      <c r="D15" s="32" t="s">
        <v>922</v>
      </c>
      <c r="E15" s="38"/>
      <c r="F15" s="38"/>
      <c r="G15" s="40"/>
      <c r="H15" s="41">
        <v>0</v>
      </c>
      <c r="U15" s="40"/>
    </row>
    <row r="16" spans="1:21" ht="15">
      <c r="A16" s="39" t="s">
        <v>923</v>
      </c>
      <c r="B16" s="36"/>
      <c r="C16" s="22"/>
      <c r="D16" s="32" t="s">
        <v>924</v>
      </c>
      <c r="E16" s="38"/>
      <c r="F16" s="38"/>
      <c r="G16" s="40">
        <v>2387540104</v>
      </c>
      <c r="H16" s="41"/>
      <c r="U16" s="40"/>
    </row>
    <row r="17" spans="1:21" ht="15">
      <c r="A17" s="39" t="s">
        <v>925</v>
      </c>
      <c r="B17" s="36"/>
      <c r="C17" s="22"/>
      <c r="D17" s="32" t="s">
        <v>926</v>
      </c>
      <c r="E17" s="38"/>
      <c r="F17" s="38"/>
      <c r="G17" s="40"/>
      <c r="H17" s="41">
        <v>1715936708</v>
      </c>
      <c r="U17" s="40"/>
    </row>
    <row r="18" spans="1:21" ht="15">
      <c r="A18" s="39" t="s">
        <v>927</v>
      </c>
      <c r="B18" s="36"/>
      <c r="C18" s="22"/>
      <c r="D18" s="32" t="s">
        <v>928</v>
      </c>
      <c r="E18" s="38"/>
      <c r="F18" s="38"/>
      <c r="G18" s="40">
        <v>809494703</v>
      </c>
      <c r="H18" s="41"/>
      <c r="U18" s="40"/>
    </row>
    <row r="19" spans="1:21" ht="15">
      <c r="A19" s="39" t="s">
        <v>929</v>
      </c>
      <c r="B19" s="36"/>
      <c r="C19" s="22"/>
      <c r="D19" s="32" t="s">
        <v>930</v>
      </c>
      <c r="E19" s="38"/>
      <c r="F19" s="38"/>
      <c r="G19" s="40"/>
      <c r="H19" s="41">
        <v>538814564</v>
      </c>
      <c r="U19" s="40"/>
    </row>
    <row r="20" spans="1:21" ht="15">
      <c r="A20" s="39" t="s">
        <v>931</v>
      </c>
      <c r="B20" s="36"/>
      <c r="C20" s="22"/>
      <c r="D20" s="32" t="s">
        <v>932</v>
      </c>
      <c r="E20" s="24"/>
      <c r="F20" s="38"/>
      <c r="G20" s="40">
        <v>585279949</v>
      </c>
      <c r="H20" s="41"/>
      <c r="U20" s="40"/>
    </row>
    <row r="21" spans="1:21" ht="15">
      <c r="A21" s="39" t="s">
        <v>933</v>
      </c>
      <c r="B21" s="36"/>
      <c r="C21" s="22"/>
      <c r="D21" s="32" t="s">
        <v>934</v>
      </c>
      <c r="E21" s="38"/>
      <c r="F21" s="38"/>
      <c r="G21" s="40"/>
      <c r="H21" s="41">
        <v>539776800</v>
      </c>
      <c r="U21" s="40"/>
    </row>
    <row r="22" spans="1:21" ht="15">
      <c r="A22" s="39" t="s">
        <v>1580</v>
      </c>
      <c r="B22" s="36"/>
      <c r="C22" s="22"/>
      <c r="D22" s="32" t="s">
        <v>1581</v>
      </c>
      <c r="E22" s="38"/>
      <c r="G22" s="40">
        <v>1440867657</v>
      </c>
      <c r="H22" s="41"/>
      <c r="U22" s="40"/>
    </row>
    <row r="23" spans="1:21" ht="15">
      <c r="A23" s="39" t="s">
        <v>1582</v>
      </c>
      <c r="B23" s="36"/>
      <c r="C23" s="22"/>
      <c r="D23" s="32" t="s">
        <v>1583</v>
      </c>
      <c r="E23" s="38"/>
      <c r="G23" s="40">
        <v>612358410</v>
      </c>
      <c r="H23" s="41"/>
      <c r="U23" s="40"/>
    </row>
    <row r="24" spans="1:21" ht="15">
      <c r="A24" s="39" t="s">
        <v>1584</v>
      </c>
      <c r="B24" s="36"/>
      <c r="C24" s="22"/>
      <c r="D24" s="30" t="s">
        <v>1585</v>
      </c>
      <c r="E24" s="38"/>
      <c r="F24" s="38"/>
      <c r="G24" s="40">
        <v>175071569</v>
      </c>
      <c r="H24" s="41"/>
      <c r="U24" s="40"/>
    </row>
    <row r="25" spans="1:21" ht="15">
      <c r="A25" s="39" t="s">
        <v>1586</v>
      </c>
      <c r="B25" s="36"/>
      <c r="C25" s="22"/>
      <c r="D25" s="30" t="s">
        <v>1587</v>
      </c>
      <c r="E25" s="38"/>
      <c r="F25" s="38"/>
      <c r="G25" s="4"/>
      <c r="H25" s="41">
        <v>106025092</v>
      </c>
      <c r="U25" s="40"/>
    </row>
    <row r="26" spans="1:21" ht="15">
      <c r="A26" s="39" t="s">
        <v>1588</v>
      </c>
      <c r="B26" s="36"/>
      <c r="C26" s="22"/>
      <c r="D26" s="30" t="s">
        <v>511</v>
      </c>
      <c r="E26" s="38"/>
      <c r="F26" s="38"/>
      <c r="G26" s="40">
        <v>34900000</v>
      </c>
      <c r="H26" s="41"/>
      <c r="U26" s="40"/>
    </row>
    <row r="27" spans="1:21" ht="15">
      <c r="A27" s="39" t="s">
        <v>512</v>
      </c>
      <c r="B27" s="36"/>
      <c r="C27" s="22"/>
      <c r="D27" s="30" t="s">
        <v>513</v>
      </c>
      <c r="E27" s="38"/>
      <c r="F27" s="38"/>
      <c r="G27" s="40"/>
      <c r="H27" s="41">
        <f>44963650-44963650</f>
        <v>0</v>
      </c>
      <c r="U27" s="40"/>
    </row>
    <row r="28" spans="1:21" ht="15">
      <c r="A28" s="39" t="s">
        <v>514</v>
      </c>
      <c r="B28" s="36"/>
      <c r="C28" s="22"/>
      <c r="D28" s="30" t="s">
        <v>515</v>
      </c>
      <c r="E28" s="38"/>
      <c r="F28" s="38"/>
      <c r="G28" s="40"/>
      <c r="H28" s="41">
        <v>0</v>
      </c>
      <c r="U28" s="40"/>
    </row>
    <row r="29" spans="1:21" ht="15">
      <c r="A29" s="39" t="s">
        <v>516</v>
      </c>
      <c r="B29" s="36"/>
      <c r="C29" s="22"/>
      <c r="D29" s="30" t="s">
        <v>517</v>
      </c>
      <c r="E29" s="38"/>
      <c r="F29" s="38"/>
      <c r="G29" s="40">
        <v>1060081590</v>
      </c>
      <c r="H29" s="41"/>
      <c r="U29" s="40"/>
    </row>
    <row r="30" spans="1:21" ht="15">
      <c r="A30" s="39" t="s">
        <v>518</v>
      </c>
      <c r="B30" s="36"/>
      <c r="C30" s="22"/>
      <c r="D30" s="30" t="s">
        <v>519</v>
      </c>
      <c r="E30" s="38"/>
      <c r="F30" s="38"/>
      <c r="G30" s="40">
        <v>171512493</v>
      </c>
      <c r="H30" s="41"/>
      <c r="U30" s="40"/>
    </row>
    <row r="31" spans="1:21" ht="15">
      <c r="A31" s="39" t="s">
        <v>520</v>
      </c>
      <c r="B31" s="36"/>
      <c r="C31" s="22"/>
      <c r="D31" s="30" t="s">
        <v>1663</v>
      </c>
      <c r="E31" s="38"/>
      <c r="F31" s="38"/>
      <c r="G31" s="40">
        <v>61056773</v>
      </c>
      <c r="H31" s="41"/>
      <c r="U31" s="40"/>
    </row>
    <row r="32" spans="1:21" ht="15">
      <c r="A32" s="39" t="s">
        <v>1664</v>
      </c>
      <c r="B32" s="36"/>
      <c r="C32" s="22"/>
      <c r="D32" s="30" t="s">
        <v>1665</v>
      </c>
      <c r="E32" s="38"/>
      <c r="F32" s="38"/>
      <c r="G32" s="40">
        <v>63565593</v>
      </c>
      <c r="H32" s="41"/>
      <c r="U32" s="42"/>
    </row>
    <row r="33" spans="1:8" ht="15">
      <c r="A33" s="39" t="s">
        <v>1666</v>
      </c>
      <c r="B33" s="36"/>
      <c r="C33" s="22"/>
      <c r="D33" s="30" t="s">
        <v>1667</v>
      </c>
      <c r="E33" s="38"/>
      <c r="F33" s="38"/>
      <c r="G33" s="40">
        <v>1169391421</v>
      </c>
      <c r="H33" s="41"/>
    </row>
    <row r="34" spans="1:8" ht="15">
      <c r="A34" s="39" t="s">
        <v>1668</v>
      </c>
      <c r="B34" s="36"/>
      <c r="C34" s="22"/>
      <c r="D34" s="30" t="s">
        <v>1669</v>
      </c>
      <c r="E34" s="38"/>
      <c r="F34" s="38"/>
      <c r="G34" s="40">
        <v>26898496</v>
      </c>
      <c r="H34" s="41"/>
    </row>
    <row r="35" spans="1:8" ht="15">
      <c r="A35" s="39" t="s">
        <v>1670</v>
      </c>
      <c r="B35" s="36"/>
      <c r="C35" s="22"/>
      <c r="D35" s="30" t="s">
        <v>1671</v>
      </c>
      <c r="E35" s="38"/>
      <c r="F35" s="38"/>
      <c r="G35" s="40">
        <v>83377842</v>
      </c>
      <c r="H35" s="41"/>
    </row>
    <row r="36" spans="1:8" ht="15">
      <c r="A36" s="39" t="s">
        <v>1840</v>
      </c>
      <c r="B36" s="36"/>
      <c r="C36" s="22"/>
      <c r="D36" s="30" t="s">
        <v>1841</v>
      </c>
      <c r="E36" s="38"/>
      <c r="F36" s="38"/>
      <c r="G36" s="40">
        <v>17896200</v>
      </c>
      <c r="H36" s="41"/>
    </row>
    <row r="37" spans="1:8" ht="15">
      <c r="A37" s="39" t="s">
        <v>1842</v>
      </c>
      <c r="B37" s="36"/>
      <c r="C37" s="22"/>
      <c r="D37" s="30" t="s">
        <v>1843</v>
      </c>
      <c r="E37" s="38"/>
      <c r="F37" s="38"/>
      <c r="G37" s="40">
        <v>122171392</v>
      </c>
      <c r="H37" s="41"/>
    </row>
    <row r="38" spans="1:8" ht="15">
      <c r="A38" s="39" t="s">
        <v>1844</v>
      </c>
      <c r="B38" s="36"/>
      <c r="C38" s="22"/>
      <c r="D38" s="30" t="s">
        <v>1845</v>
      </c>
      <c r="E38" s="38"/>
      <c r="F38" s="38"/>
      <c r="G38" s="40">
        <v>6269854396</v>
      </c>
      <c r="H38" s="41"/>
    </row>
    <row r="39" spans="1:8" ht="15">
      <c r="A39" s="39" t="s">
        <v>1846</v>
      </c>
      <c r="B39" s="36"/>
      <c r="C39" s="22"/>
      <c r="D39" s="30" t="s">
        <v>1847</v>
      </c>
      <c r="E39" s="38"/>
      <c r="F39" s="38"/>
      <c r="G39" s="40">
        <v>0</v>
      </c>
      <c r="H39" s="32"/>
    </row>
    <row r="40" spans="1:8" ht="15">
      <c r="A40" s="39" t="s">
        <v>1848</v>
      </c>
      <c r="B40" s="36"/>
      <c r="C40" s="22"/>
      <c r="D40" s="30" t="s">
        <v>1849</v>
      </c>
      <c r="E40" s="38"/>
      <c r="F40" s="38"/>
      <c r="G40" s="40">
        <v>350792909</v>
      </c>
      <c r="H40" s="41"/>
    </row>
    <row r="41" spans="1:8" ht="15">
      <c r="A41" s="39" t="s">
        <v>1850</v>
      </c>
      <c r="B41" s="36"/>
      <c r="C41" s="22"/>
      <c r="D41" s="30" t="s">
        <v>1851</v>
      </c>
      <c r="E41" s="38"/>
      <c r="F41" s="38"/>
      <c r="G41" s="40">
        <v>30653842</v>
      </c>
      <c r="H41" s="41"/>
    </row>
    <row r="42" spans="1:8" ht="15">
      <c r="A42" s="39" t="s">
        <v>1852</v>
      </c>
      <c r="B42" s="36"/>
      <c r="C42" s="22"/>
      <c r="D42" s="30" t="s">
        <v>1853</v>
      </c>
      <c r="E42" s="38"/>
      <c r="F42" s="38"/>
      <c r="G42" s="40">
        <v>27517384</v>
      </c>
      <c r="H42" s="41"/>
    </row>
    <row r="43" spans="1:8" ht="15">
      <c r="A43" s="39" t="s">
        <v>1854</v>
      </c>
      <c r="B43" s="36"/>
      <c r="C43" s="22"/>
      <c r="D43" s="30" t="s">
        <v>1855</v>
      </c>
      <c r="E43" s="38"/>
      <c r="F43" s="38"/>
      <c r="G43" s="40">
        <v>215842328</v>
      </c>
      <c r="H43" s="41"/>
    </row>
    <row r="44" spans="1:8" ht="15">
      <c r="A44" s="39" t="s">
        <v>1856</v>
      </c>
      <c r="B44" s="36"/>
      <c r="C44" s="22"/>
      <c r="D44" s="30" t="s">
        <v>1857</v>
      </c>
      <c r="E44" s="38"/>
      <c r="F44" s="38"/>
      <c r="G44" s="40">
        <v>230621</v>
      </c>
      <c r="H44" s="41"/>
    </row>
    <row r="45" spans="1:8" ht="15">
      <c r="A45" s="39" t="s">
        <v>1858</v>
      </c>
      <c r="B45" s="36"/>
      <c r="C45" s="22"/>
      <c r="D45" s="30" t="s">
        <v>1916</v>
      </c>
      <c r="E45" s="38"/>
      <c r="F45" s="38"/>
      <c r="G45" s="40">
        <v>1628439083</v>
      </c>
      <c r="H45" s="41"/>
    </row>
    <row r="46" spans="1:8" ht="15">
      <c r="A46" s="39" t="s">
        <v>1917</v>
      </c>
      <c r="B46" s="36"/>
      <c r="C46" s="36"/>
      <c r="D46" s="30" t="s">
        <v>1918</v>
      </c>
      <c r="E46" s="38"/>
      <c r="F46" s="38"/>
      <c r="G46" s="40"/>
      <c r="H46" s="41">
        <v>198292148</v>
      </c>
    </row>
    <row r="47" spans="1:8" ht="15">
      <c r="A47" s="39" t="s">
        <v>1919</v>
      </c>
      <c r="B47" s="36"/>
      <c r="C47" s="22"/>
      <c r="D47" s="30" t="s">
        <v>1920</v>
      </c>
      <c r="E47" s="38"/>
      <c r="F47" s="38"/>
      <c r="G47" s="40">
        <v>1790007366</v>
      </c>
      <c r="H47" s="41"/>
    </row>
    <row r="48" spans="1:8" ht="15">
      <c r="A48" s="39" t="s">
        <v>1921</v>
      </c>
      <c r="B48" s="36"/>
      <c r="C48" s="36"/>
      <c r="D48" s="30" t="s">
        <v>1922</v>
      </c>
      <c r="E48" s="38"/>
      <c r="F48" s="38"/>
      <c r="G48" s="40"/>
      <c r="H48" s="41"/>
    </row>
    <row r="49" spans="1:8" ht="15">
      <c r="A49" s="39" t="s">
        <v>1921</v>
      </c>
      <c r="B49" s="36"/>
      <c r="C49" s="36"/>
      <c r="D49" s="30" t="s">
        <v>1923</v>
      </c>
      <c r="E49" s="38"/>
      <c r="F49" s="38"/>
      <c r="G49" s="40">
        <f>15156149.94+19371037.24</f>
        <v>34527187.18</v>
      </c>
      <c r="H49" s="41"/>
    </row>
    <row r="50" spans="1:8" ht="15">
      <c r="A50" s="39" t="s">
        <v>1921</v>
      </c>
      <c r="B50" s="36"/>
      <c r="C50" s="36"/>
      <c r="D50" s="30" t="s">
        <v>1924</v>
      </c>
      <c r="E50" s="38"/>
      <c r="F50" s="38"/>
      <c r="G50" s="40">
        <v>0</v>
      </c>
      <c r="H50" s="41"/>
    </row>
    <row r="51" spans="1:8" ht="15">
      <c r="A51" s="39" t="s">
        <v>1921</v>
      </c>
      <c r="B51" s="36"/>
      <c r="C51" s="36"/>
      <c r="D51" s="30" t="s">
        <v>1925</v>
      </c>
      <c r="E51" s="38"/>
      <c r="F51" s="38"/>
      <c r="G51" s="43">
        <v>3500000</v>
      </c>
      <c r="H51" s="44"/>
    </row>
    <row r="52" spans="1:8" ht="15">
      <c r="A52" s="39" t="s">
        <v>1921</v>
      </c>
      <c r="B52" s="36"/>
      <c r="C52" s="36"/>
      <c r="D52" s="30" t="s">
        <v>1926</v>
      </c>
      <c r="E52" s="38"/>
      <c r="F52" s="38"/>
      <c r="G52" s="43">
        <v>37085052</v>
      </c>
      <c r="H52" s="44"/>
    </row>
    <row r="53" spans="1:8" ht="15">
      <c r="A53" s="39" t="s">
        <v>1921</v>
      </c>
      <c r="B53" s="36"/>
      <c r="C53" s="36"/>
      <c r="D53" s="30" t="s">
        <v>1927</v>
      </c>
      <c r="E53" s="38"/>
      <c r="F53" s="38"/>
      <c r="G53" s="43">
        <v>9515367</v>
      </c>
      <c r="H53" s="44"/>
    </row>
    <row r="54" spans="1:8" ht="15">
      <c r="A54" s="39" t="s">
        <v>1921</v>
      </c>
      <c r="B54" s="36"/>
      <c r="C54" s="36"/>
      <c r="D54" s="30" t="s">
        <v>191</v>
      </c>
      <c r="E54" s="38"/>
      <c r="F54" s="38"/>
      <c r="G54" s="43"/>
      <c r="H54" s="44">
        <v>7199900</v>
      </c>
    </row>
    <row r="55" spans="1:8" ht="15">
      <c r="A55" s="39" t="s">
        <v>1921</v>
      </c>
      <c r="B55" s="36"/>
      <c r="C55" s="36"/>
      <c r="D55" s="30" t="s">
        <v>192</v>
      </c>
      <c r="E55" s="38"/>
      <c r="F55" s="38"/>
      <c r="G55" s="44">
        <v>20504730.7</v>
      </c>
      <c r="H55" s="44"/>
    </row>
    <row r="56" spans="1:8" ht="15">
      <c r="A56" s="39" t="s">
        <v>1921</v>
      </c>
      <c r="B56" s="36"/>
      <c r="C56" s="36"/>
      <c r="D56" s="30" t="s">
        <v>193</v>
      </c>
      <c r="E56" s="38"/>
      <c r="F56" s="38"/>
      <c r="G56" s="43"/>
      <c r="H56" s="44">
        <v>2740391</v>
      </c>
    </row>
    <row r="57" spans="1:8" ht="15">
      <c r="A57" s="39" t="s">
        <v>1921</v>
      </c>
      <c r="B57" s="36"/>
      <c r="C57" s="36"/>
      <c r="D57" s="30" t="s">
        <v>194</v>
      </c>
      <c r="E57" s="38"/>
      <c r="F57" s="38"/>
      <c r="G57" s="43"/>
      <c r="H57" s="44">
        <v>0</v>
      </c>
    </row>
    <row r="58" spans="1:8" ht="15">
      <c r="A58" s="39" t="s">
        <v>1921</v>
      </c>
      <c r="B58" s="36"/>
      <c r="C58" s="36"/>
      <c r="D58" s="30" t="s">
        <v>192</v>
      </c>
      <c r="E58" s="38"/>
      <c r="F58" s="38"/>
      <c r="G58" s="44"/>
      <c r="H58" s="44">
        <v>0</v>
      </c>
    </row>
    <row r="59" spans="1:8" ht="15">
      <c r="A59" s="39" t="s">
        <v>1921</v>
      </c>
      <c r="B59" s="36"/>
      <c r="C59" s="36"/>
      <c r="D59" s="30" t="s">
        <v>195</v>
      </c>
      <c r="E59" s="38"/>
      <c r="F59" s="38"/>
      <c r="G59" s="43"/>
      <c r="H59" s="44">
        <v>0</v>
      </c>
    </row>
    <row r="60" spans="1:8" ht="15">
      <c r="A60" s="39" t="s">
        <v>1921</v>
      </c>
      <c r="B60" s="36"/>
      <c r="C60" s="36"/>
      <c r="D60" s="30" t="s">
        <v>196</v>
      </c>
      <c r="E60" s="38"/>
      <c r="F60" s="38"/>
      <c r="G60" s="43"/>
      <c r="H60" s="44">
        <v>1799112917.11</v>
      </c>
    </row>
    <row r="61" spans="1:8" ht="15">
      <c r="A61" s="39" t="s">
        <v>1921</v>
      </c>
      <c r="B61" s="36"/>
      <c r="C61" s="36"/>
      <c r="D61" s="30" t="s">
        <v>192</v>
      </c>
      <c r="E61" s="38"/>
      <c r="F61" s="38"/>
      <c r="G61" s="43"/>
      <c r="H61" s="44"/>
    </row>
    <row r="62" spans="1:8" ht="15">
      <c r="A62" s="39" t="s">
        <v>1921</v>
      </c>
      <c r="B62" s="36"/>
      <c r="C62" s="36"/>
      <c r="D62" s="30" t="s">
        <v>1445</v>
      </c>
      <c r="E62" s="38"/>
      <c r="F62" s="38"/>
      <c r="G62" s="43">
        <v>13047070</v>
      </c>
      <c r="H62" s="44"/>
    </row>
    <row r="63" spans="1:8" ht="15">
      <c r="A63" s="39" t="s">
        <v>1921</v>
      </c>
      <c r="B63" s="36"/>
      <c r="C63" s="36"/>
      <c r="D63" s="30" t="s">
        <v>1926</v>
      </c>
      <c r="E63" s="38"/>
      <c r="F63" s="38"/>
      <c r="G63" s="43">
        <v>0</v>
      </c>
      <c r="H63" s="44"/>
    </row>
    <row r="64" spans="1:8" ht="15">
      <c r="A64" s="39" t="s">
        <v>1921</v>
      </c>
      <c r="B64" s="36"/>
      <c r="C64" s="36"/>
      <c r="D64" s="30" t="s">
        <v>1446</v>
      </c>
      <c r="E64" s="38"/>
      <c r="F64" s="38"/>
      <c r="G64" s="43">
        <v>0</v>
      </c>
      <c r="H64" s="44"/>
    </row>
    <row r="65" spans="1:8" ht="15">
      <c r="A65" s="39" t="s">
        <v>1921</v>
      </c>
      <c r="B65" s="36"/>
      <c r="C65" s="36"/>
      <c r="D65" s="30" t="s">
        <v>1447</v>
      </c>
      <c r="E65" s="38"/>
      <c r="F65" s="38"/>
      <c r="G65" s="43">
        <v>0</v>
      </c>
      <c r="H65" s="44"/>
    </row>
    <row r="66" spans="1:8" ht="15">
      <c r="A66" s="39" t="s">
        <v>1921</v>
      </c>
      <c r="B66" s="36"/>
      <c r="C66" s="36"/>
      <c r="D66" s="30" t="s">
        <v>1448</v>
      </c>
      <c r="E66" s="38"/>
      <c r="F66" s="38"/>
      <c r="G66" s="43">
        <v>0</v>
      </c>
      <c r="H66" s="44"/>
    </row>
    <row r="67" spans="1:8" ht="15">
      <c r="A67" s="39" t="s">
        <v>1921</v>
      </c>
      <c r="B67" s="36"/>
      <c r="C67" s="36"/>
      <c r="D67" s="30" t="s">
        <v>1449</v>
      </c>
      <c r="E67" s="38"/>
      <c r="F67" s="38"/>
      <c r="G67" s="43">
        <v>305417</v>
      </c>
      <c r="H67" s="44"/>
    </row>
    <row r="68" spans="1:8" ht="15">
      <c r="A68" s="39"/>
      <c r="B68" s="36"/>
      <c r="C68" s="36"/>
      <c r="D68" s="30"/>
      <c r="E68" s="38"/>
      <c r="F68" s="38"/>
      <c r="G68" s="44"/>
      <c r="H68" s="44"/>
    </row>
    <row r="69" spans="1:8" ht="15">
      <c r="A69" s="39" t="s">
        <v>1450</v>
      </c>
      <c r="B69" s="36"/>
      <c r="C69" s="36"/>
      <c r="D69" s="30" t="s">
        <v>1451</v>
      </c>
      <c r="E69" s="38"/>
      <c r="F69" s="38"/>
      <c r="G69" s="40">
        <v>96483334</v>
      </c>
      <c r="H69" s="45"/>
    </row>
    <row r="70" spans="1:8" ht="15">
      <c r="A70" s="39" t="s">
        <v>1452</v>
      </c>
      <c r="B70" s="36"/>
      <c r="C70" s="36"/>
      <c r="D70" s="30" t="s">
        <v>1453</v>
      </c>
      <c r="E70" s="38"/>
      <c r="F70" s="38"/>
      <c r="G70" s="40">
        <v>400818780</v>
      </c>
      <c r="H70" s="45"/>
    </row>
    <row r="71" spans="1:8" ht="15">
      <c r="A71" s="39" t="s">
        <v>1454</v>
      </c>
      <c r="B71" s="36"/>
      <c r="C71" s="22"/>
      <c r="D71" s="30" t="s">
        <v>1455</v>
      </c>
      <c r="E71" s="38"/>
      <c r="F71" s="38"/>
      <c r="G71" s="46">
        <v>0</v>
      </c>
      <c r="H71" s="45"/>
    </row>
    <row r="72" spans="1:8" ht="15">
      <c r="A72" s="39" t="s">
        <v>1456</v>
      </c>
      <c r="B72" s="36"/>
      <c r="C72" s="36"/>
      <c r="D72" s="30" t="s">
        <v>1457</v>
      </c>
      <c r="E72" s="38"/>
      <c r="F72" s="38"/>
      <c r="G72" s="40">
        <v>27367118</v>
      </c>
      <c r="H72" s="41"/>
    </row>
    <row r="73" spans="1:8" ht="15">
      <c r="A73" s="39" t="s">
        <v>1458</v>
      </c>
      <c r="B73" s="36"/>
      <c r="C73" s="22"/>
      <c r="D73" s="30" t="s">
        <v>1459</v>
      </c>
      <c r="E73" s="38"/>
      <c r="F73" s="38"/>
      <c r="G73" s="40">
        <v>66785198</v>
      </c>
      <c r="H73" s="41"/>
    </row>
    <row r="74" spans="1:8" ht="15">
      <c r="A74" s="39" t="s">
        <v>1460</v>
      </c>
      <c r="B74" s="36"/>
      <c r="C74" s="36"/>
      <c r="D74" s="30" t="s">
        <v>1461</v>
      </c>
      <c r="E74" s="38"/>
      <c r="F74" s="38"/>
      <c r="G74" s="40">
        <v>4377548</v>
      </c>
      <c r="H74" s="41"/>
    </row>
    <row r="75" spans="1:8" ht="15">
      <c r="A75" s="39" t="s">
        <v>1462</v>
      </c>
      <c r="B75" s="36"/>
      <c r="C75" s="36"/>
      <c r="D75" s="30" t="s">
        <v>1463</v>
      </c>
      <c r="E75" s="38"/>
      <c r="F75" s="38"/>
      <c r="G75" s="40">
        <v>200000</v>
      </c>
      <c r="H75" s="41"/>
    </row>
    <row r="76" spans="1:8" ht="15">
      <c r="A76" s="39" t="s">
        <v>1464</v>
      </c>
      <c r="B76" s="36"/>
      <c r="C76" s="22"/>
      <c r="D76" s="30" t="s">
        <v>1465</v>
      </c>
      <c r="E76" s="38"/>
      <c r="F76" s="38"/>
      <c r="G76" s="40">
        <v>0</v>
      </c>
      <c r="H76" s="41"/>
    </row>
    <row r="77" spans="1:8" ht="15">
      <c r="A77" s="39" t="s">
        <v>1466</v>
      </c>
      <c r="B77" s="36"/>
      <c r="C77" s="22"/>
      <c r="D77" s="30" t="s">
        <v>1467</v>
      </c>
      <c r="E77" s="38"/>
      <c r="F77" s="38"/>
      <c r="G77" s="40">
        <v>3690258</v>
      </c>
      <c r="H77" s="41"/>
    </row>
    <row r="78" spans="1:8" ht="15">
      <c r="A78" s="39" t="s">
        <v>1468</v>
      </c>
      <c r="B78" s="36"/>
      <c r="C78" s="36"/>
      <c r="D78" s="30" t="s">
        <v>1469</v>
      </c>
      <c r="E78" s="38"/>
      <c r="F78" s="38"/>
      <c r="G78" s="40">
        <v>1799112917</v>
      </c>
      <c r="H78" s="41"/>
    </row>
    <row r="79" spans="1:8" ht="15">
      <c r="A79" s="39" t="s">
        <v>1470</v>
      </c>
      <c r="B79" s="36"/>
      <c r="C79" s="36"/>
      <c r="D79" s="30" t="s">
        <v>1471</v>
      </c>
      <c r="E79" s="38"/>
      <c r="F79" s="38"/>
      <c r="G79" s="40">
        <v>0</v>
      </c>
      <c r="H79" s="41"/>
    </row>
    <row r="80" spans="1:8" ht="15">
      <c r="A80" s="39" t="s">
        <v>1472</v>
      </c>
      <c r="B80" s="36"/>
      <c r="C80" s="36"/>
      <c r="D80" s="30" t="s">
        <v>1473</v>
      </c>
      <c r="E80" s="38"/>
      <c r="F80" s="38"/>
      <c r="G80" s="40"/>
      <c r="H80" s="41"/>
    </row>
    <row r="81" spans="1:8" ht="15">
      <c r="A81" s="39" t="s">
        <v>1474</v>
      </c>
      <c r="B81" s="36"/>
      <c r="C81" s="36"/>
      <c r="D81" s="30" t="s">
        <v>1475</v>
      </c>
      <c r="E81" s="38"/>
      <c r="F81" s="38"/>
      <c r="G81" s="40"/>
      <c r="H81" s="41">
        <v>0</v>
      </c>
    </row>
    <row r="82" spans="1:8" ht="15">
      <c r="A82" s="39" t="s">
        <v>1476</v>
      </c>
      <c r="B82" s="36"/>
      <c r="C82" s="36"/>
      <c r="D82" s="30" t="s">
        <v>1477</v>
      </c>
      <c r="E82" s="38"/>
      <c r="F82" s="38"/>
      <c r="G82" s="40"/>
      <c r="H82" s="41">
        <v>430434779</v>
      </c>
    </row>
    <row r="83" spans="1:8" ht="15">
      <c r="A83" s="39" t="s">
        <v>1478</v>
      </c>
      <c r="B83" s="36"/>
      <c r="C83" s="22"/>
      <c r="D83" s="30" t="s">
        <v>1479</v>
      </c>
      <c r="E83" s="38"/>
      <c r="F83" s="38"/>
      <c r="G83" s="40"/>
      <c r="H83" s="41">
        <v>21471518</v>
      </c>
    </row>
    <row r="84" spans="1:8" ht="15">
      <c r="A84" s="39" t="s">
        <v>1480</v>
      </c>
      <c r="B84" s="36"/>
      <c r="C84" s="22"/>
      <c r="D84" s="30" t="s">
        <v>1481</v>
      </c>
      <c r="E84" s="38"/>
      <c r="F84" s="38"/>
      <c r="G84" s="40"/>
      <c r="H84" s="41">
        <v>59576845</v>
      </c>
    </row>
    <row r="85" spans="1:8" ht="15">
      <c r="A85" s="39" t="s">
        <v>1482</v>
      </c>
      <c r="B85" s="36"/>
      <c r="C85" s="22"/>
      <c r="D85" s="30" t="s">
        <v>1483</v>
      </c>
      <c r="E85" s="38"/>
      <c r="F85" s="38"/>
      <c r="G85" s="40">
        <v>125258122</v>
      </c>
      <c r="H85" s="41"/>
    </row>
    <row r="86" spans="1:8" ht="15">
      <c r="A86" s="39" t="s">
        <v>1482</v>
      </c>
      <c r="B86" s="36"/>
      <c r="C86" s="22"/>
      <c r="D86" s="30" t="s">
        <v>1484</v>
      </c>
      <c r="E86" s="38"/>
      <c r="F86" s="38"/>
      <c r="G86" s="40">
        <v>1457601678</v>
      </c>
      <c r="H86" s="41"/>
    </row>
    <row r="87" spans="1:8" ht="15">
      <c r="A87" s="39" t="s">
        <v>1485</v>
      </c>
      <c r="B87" s="36"/>
      <c r="C87" s="22"/>
      <c r="D87" s="30" t="s">
        <v>1486</v>
      </c>
      <c r="E87" s="38"/>
      <c r="F87" s="38"/>
      <c r="G87" s="40">
        <v>460953196</v>
      </c>
      <c r="H87" s="41"/>
    </row>
    <row r="88" spans="1:8" ht="15">
      <c r="A88" s="39" t="s">
        <v>1487</v>
      </c>
      <c r="B88" s="36"/>
      <c r="C88" s="22"/>
      <c r="D88" s="30" t="s">
        <v>1488</v>
      </c>
      <c r="E88" s="38"/>
      <c r="F88" s="38"/>
      <c r="G88" s="40"/>
      <c r="H88" s="41">
        <v>22880</v>
      </c>
    </row>
    <row r="89" spans="1:8" ht="15">
      <c r="A89" s="39" t="s">
        <v>1710</v>
      </c>
      <c r="B89" s="36"/>
      <c r="C89" s="22"/>
      <c r="D89" s="30" t="s">
        <v>1711</v>
      </c>
      <c r="E89" s="38"/>
      <c r="F89" s="38"/>
      <c r="G89" s="40">
        <v>838747922</v>
      </c>
      <c r="H89" s="41"/>
    </row>
    <row r="90" spans="1:8" ht="15">
      <c r="A90" s="39" t="s">
        <v>1712</v>
      </c>
      <c r="B90" s="36"/>
      <c r="C90" s="22"/>
      <c r="D90" s="30" t="s">
        <v>1713</v>
      </c>
      <c r="E90" s="38"/>
      <c r="F90" s="38"/>
      <c r="G90" s="40">
        <v>3216842560</v>
      </c>
      <c r="H90" s="41"/>
    </row>
    <row r="91" spans="1:8" ht="15">
      <c r="A91" s="39" t="s">
        <v>1002</v>
      </c>
      <c r="B91" s="36"/>
      <c r="C91" s="22"/>
      <c r="D91" s="30" t="s">
        <v>1003</v>
      </c>
      <c r="E91" s="38"/>
      <c r="F91" s="38"/>
      <c r="G91" s="40">
        <v>2745587352</v>
      </c>
      <c r="H91" s="41"/>
    </row>
    <row r="92" spans="1:8" ht="15">
      <c r="A92" s="39" t="s">
        <v>1004</v>
      </c>
      <c r="B92" s="36"/>
      <c r="C92" s="22"/>
      <c r="D92" s="30" t="s">
        <v>1005</v>
      </c>
      <c r="E92" s="38"/>
      <c r="F92" s="38"/>
      <c r="G92" s="40">
        <v>1176434346</v>
      </c>
      <c r="H92" s="41"/>
    </row>
    <row r="93" spans="1:8" ht="15">
      <c r="A93" s="39" t="s">
        <v>1006</v>
      </c>
      <c r="B93" s="36"/>
      <c r="C93" s="36"/>
      <c r="D93" s="30" t="s">
        <v>1007</v>
      </c>
      <c r="E93" s="38"/>
      <c r="F93" s="38"/>
      <c r="G93" s="40">
        <v>211898159</v>
      </c>
      <c r="H93" s="41"/>
    </row>
    <row r="94" spans="1:8" ht="15">
      <c r="A94" s="39" t="s">
        <v>1008</v>
      </c>
      <c r="B94" s="36"/>
      <c r="C94" s="36"/>
      <c r="D94" s="30" t="s">
        <v>1009</v>
      </c>
      <c r="E94" s="38"/>
      <c r="F94" s="38"/>
      <c r="G94" s="40">
        <v>5590335</v>
      </c>
      <c r="H94" s="41"/>
    </row>
    <row r="95" spans="1:8" ht="15">
      <c r="A95" s="39" t="s">
        <v>1010</v>
      </c>
      <c r="B95" s="36"/>
      <c r="C95" s="22"/>
      <c r="D95" s="30" t="s">
        <v>1699</v>
      </c>
      <c r="E95" s="38"/>
      <c r="F95" s="38"/>
      <c r="G95" s="40">
        <v>0</v>
      </c>
      <c r="H95" s="41"/>
    </row>
    <row r="96" spans="1:8" ht="15">
      <c r="A96" s="39" t="s">
        <v>1700</v>
      </c>
      <c r="B96" s="36"/>
      <c r="C96" s="22"/>
      <c r="D96" s="30" t="s">
        <v>1701</v>
      </c>
      <c r="E96" s="38"/>
      <c r="F96" s="38"/>
      <c r="G96" s="40">
        <v>330920</v>
      </c>
      <c r="H96" s="41"/>
    </row>
    <row r="97" spans="1:8" ht="15">
      <c r="A97" s="39"/>
      <c r="B97" s="36"/>
      <c r="C97" s="22"/>
      <c r="D97" s="30"/>
      <c r="E97" s="38"/>
      <c r="F97" s="38"/>
      <c r="G97" s="47"/>
      <c r="H97" s="47"/>
    </row>
    <row r="98" spans="1:8" ht="15">
      <c r="A98" s="39" t="s">
        <v>1702</v>
      </c>
      <c r="B98" s="36"/>
      <c r="C98" s="22"/>
      <c r="D98" s="30" t="s">
        <v>1703</v>
      </c>
      <c r="E98" s="38"/>
      <c r="F98" s="38"/>
      <c r="G98" s="47"/>
      <c r="H98" s="41">
        <v>3598462000</v>
      </c>
    </row>
    <row r="99" spans="1:8" ht="15">
      <c r="A99" s="39" t="s">
        <v>1704</v>
      </c>
      <c r="B99" s="36"/>
      <c r="C99" s="22"/>
      <c r="D99" s="30" t="s">
        <v>1705</v>
      </c>
      <c r="E99" s="38"/>
      <c r="F99" s="38"/>
      <c r="G99" s="48"/>
      <c r="H99" s="41">
        <v>482993875</v>
      </c>
    </row>
    <row r="100" spans="1:8" ht="15">
      <c r="A100" s="39" t="s">
        <v>248</v>
      </c>
      <c r="B100" s="36"/>
      <c r="C100" s="22"/>
      <c r="D100" s="30" t="s">
        <v>249</v>
      </c>
      <c r="E100" s="38"/>
      <c r="F100" s="38"/>
      <c r="G100" s="48"/>
      <c r="H100" s="41">
        <v>0</v>
      </c>
    </row>
    <row r="101" spans="1:8" ht="15">
      <c r="A101" s="39" t="s">
        <v>250</v>
      </c>
      <c r="B101" s="36"/>
      <c r="C101" s="22"/>
      <c r="D101" s="30" t="s">
        <v>251</v>
      </c>
      <c r="E101" s="38"/>
      <c r="F101" s="38"/>
      <c r="G101" s="48"/>
      <c r="H101" s="41">
        <v>17731300835</v>
      </c>
    </row>
    <row r="102" spans="1:8" ht="15">
      <c r="A102" s="39"/>
      <c r="B102" s="36"/>
      <c r="C102" s="22"/>
      <c r="D102" s="30"/>
      <c r="E102" s="38"/>
      <c r="F102" s="38"/>
      <c r="G102" s="48"/>
      <c r="H102" s="48"/>
    </row>
    <row r="103" spans="1:8" ht="15">
      <c r="A103" s="39" t="s">
        <v>252</v>
      </c>
      <c r="B103" s="36"/>
      <c r="C103" s="36"/>
      <c r="D103" s="30" t="s">
        <v>253</v>
      </c>
      <c r="E103" s="38"/>
      <c r="F103" s="38"/>
      <c r="G103" s="48"/>
      <c r="H103" s="48">
        <v>0</v>
      </c>
    </row>
    <row r="104" spans="1:8" ht="15">
      <c r="A104" s="39" t="s">
        <v>254</v>
      </c>
      <c r="B104" s="36"/>
      <c r="C104" s="22"/>
      <c r="D104" s="30" t="s">
        <v>1969</v>
      </c>
      <c r="E104" s="38"/>
      <c r="F104" s="38"/>
      <c r="G104" s="40"/>
      <c r="H104" s="41">
        <v>679911864</v>
      </c>
    </row>
    <row r="105" spans="1:8" ht="15">
      <c r="A105" s="39" t="s">
        <v>1789</v>
      </c>
      <c r="B105" s="36"/>
      <c r="C105" s="22"/>
      <c r="D105" s="30" t="s">
        <v>1790</v>
      </c>
      <c r="E105" s="38"/>
      <c r="F105" s="38"/>
      <c r="G105" s="40">
        <v>142684747</v>
      </c>
      <c r="H105" s="41"/>
    </row>
    <row r="106" spans="1:8" ht="15">
      <c r="A106" s="39" t="s">
        <v>1791</v>
      </c>
      <c r="B106" s="36"/>
      <c r="C106" s="22"/>
      <c r="D106" s="30" t="s">
        <v>1792</v>
      </c>
      <c r="E106" s="38"/>
      <c r="F106" s="38"/>
      <c r="G106" s="40">
        <v>1776845</v>
      </c>
      <c r="H106" s="41"/>
    </row>
    <row r="107" spans="1:8" ht="15">
      <c r="A107" s="39" t="s">
        <v>1793</v>
      </c>
      <c r="B107" s="36"/>
      <c r="C107" s="22"/>
      <c r="D107" s="30" t="s">
        <v>579</v>
      </c>
      <c r="E107" s="38"/>
      <c r="F107" s="38"/>
      <c r="G107" s="40"/>
      <c r="H107" s="41">
        <v>0</v>
      </c>
    </row>
    <row r="108" spans="1:8" ht="15">
      <c r="A108" s="39" t="s">
        <v>580</v>
      </c>
      <c r="B108" s="36"/>
      <c r="C108" s="22"/>
      <c r="D108" s="30" t="s">
        <v>581</v>
      </c>
      <c r="E108" s="38"/>
      <c r="F108" s="38"/>
      <c r="G108" s="40"/>
      <c r="H108" s="41">
        <v>50363841</v>
      </c>
    </row>
    <row r="109" spans="1:8" ht="15">
      <c r="A109" s="39" t="s">
        <v>582</v>
      </c>
      <c r="B109" s="36"/>
      <c r="C109" s="22"/>
      <c r="D109" s="30" t="s">
        <v>583</v>
      </c>
      <c r="E109" s="38"/>
      <c r="F109" s="38"/>
      <c r="G109" s="40"/>
      <c r="H109" s="41">
        <v>31113085</v>
      </c>
    </row>
    <row r="110" spans="1:8" ht="15">
      <c r="A110" s="39" t="s">
        <v>584</v>
      </c>
      <c r="B110" s="36"/>
      <c r="C110" s="22"/>
      <c r="D110" s="30" t="s">
        <v>585</v>
      </c>
      <c r="E110" s="38"/>
      <c r="F110" s="38"/>
      <c r="G110" s="40"/>
      <c r="H110" s="32">
        <v>0</v>
      </c>
    </row>
    <row r="111" spans="1:8" ht="15">
      <c r="A111" s="39" t="s">
        <v>586</v>
      </c>
      <c r="B111" s="36"/>
      <c r="C111" s="22"/>
      <c r="D111" s="30" t="s">
        <v>769</v>
      </c>
      <c r="E111" s="38"/>
      <c r="F111" s="38"/>
      <c r="G111" s="40"/>
      <c r="H111" s="41">
        <v>0</v>
      </c>
    </row>
    <row r="112" spans="1:8" ht="15">
      <c r="A112" s="39" t="s">
        <v>770</v>
      </c>
      <c r="B112" s="36"/>
      <c r="C112" s="22"/>
      <c r="D112" s="30" t="s">
        <v>771</v>
      </c>
      <c r="E112" s="38"/>
      <c r="F112" s="38"/>
      <c r="G112" s="46"/>
      <c r="H112" s="41">
        <v>14127178</v>
      </c>
    </row>
    <row r="113" spans="1:8" ht="15">
      <c r="A113" s="39" t="s">
        <v>750</v>
      </c>
      <c r="B113" s="36"/>
      <c r="C113" s="22"/>
      <c r="D113" s="30" t="s">
        <v>751</v>
      </c>
      <c r="E113" s="38"/>
      <c r="F113" s="38"/>
      <c r="G113" s="46"/>
      <c r="H113" s="41">
        <v>1663518421</v>
      </c>
    </row>
    <row r="114" spans="1:8" ht="15">
      <c r="A114" s="39" t="s">
        <v>752</v>
      </c>
      <c r="B114" s="36"/>
      <c r="C114" s="22"/>
      <c r="D114" s="30" t="s">
        <v>753</v>
      </c>
      <c r="E114" s="38"/>
      <c r="F114" s="38"/>
      <c r="G114" s="46"/>
      <c r="H114" s="45">
        <v>0</v>
      </c>
    </row>
    <row r="115" spans="1:8" ht="15">
      <c r="A115" s="39" t="s">
        <v>754</v>
      </c>
      <c r="B115" s="36"/>
      <c r="C115" s="22"/>
      <c r="D115" s="30" t="s">
        <v>755</v>
      </c>
      <c r="E115" s="38"/>
      <c r="F115" s="38"/>
      <c r="G115" s="46"/>
      <c r="H115" s="45">
        <v>0</v>
      </c>
    </row>
    <row r="116" spans="1:8" ht="15">
      <c r="A116" s="39" t="s">
        <v>756</v>
      </c>
      <c r="B116" s="36"/>
      <c r="C116" s="22"/>
      <c r="D116" s="30" t="s">
        <v>231</v>
      </c>
      <c r="E116" s="38"/>
      <c r="F116" s="38"/>
      <c r="G116" s="40">
        <v>194426</v>
      </c>
      <c r="H116" s="41"/>
    </row>
    <row r="117" spans="1:8" ht="15">
      <c r="A117" s="39" t="s">
        <v>232</v>
      </c>
      <c r="B117" s="36"/>
      <c r="C117" s="22"/>
      <c r="D117" s="30" t="s">
        <v>233</v>
      </c>
      <c r="E117" s="38"/>
      <c r="F117" s="38"/>
      <c r="G117" s="40"/>
      <c r="H117" s="41">
        <v>0</v>
      </c>
    </row>
    <row r="118" spans="1:8" ht="15">
      <c r="A118" s="39" t="s">
        <v>234</v>
      </c>
      <c r="B118" s="36"/>
      <c r="C118" s="36"/>
      <c r="D118" s="30" t="s">
        <v>1337</v>
      </c>
      <c r="E118" s="38"/>
      <c r="F118" s="38"/>
      <c r="G118" s="40"/>
      <c r="H118" s="41">
        <v>105975</v>
      </c>
    </row>
    <row r="119" spans="1:8" ht="15">
      <c r="A119" s="39" t="s">
        <v>1338</v>
      </c>
      <c r="B119" s="36"/>
      <c r="C119" s="36"/>
      <c r="D119" s="30" t="s">
        <v>1339</v>
      </c>
      <c r="E119" s="38"/>
      <c r="F119" s="38"/>
      <c r="G119" s="40"/>
      <c r="H119" s="41">
        <v>33695</v>
      </c>
    </row>
    <row r="120" spans="1:8" ht="15">
      <c r="A120" s="39" t="s">
        <v>1340</v>
      </c>
      <c r="B120" s="36"/>
      <c r="C120" s="22"/>
      <c r="D120" s="30" t="s">
        <v>1341</v>
      </c>
      <c r="E120" s="38"/>
      <c r="F120" s="38"/>
      <c r="G120" s="40"/>
      <c r="H120" s="41">
        <v>0</v>
      </c>
    </row>
    <row r="121" spans="1:8" ht="15">
      <c r="A121" s="39" t="s">
        <v>1342</v>
      </c>
      <c r="B121" s="36"/>
      <c r="C121" s="36"/>
      <c r="D121" s="30" t="s">
        <v>1343</v>
      </c>
      <c r="E121" s="38"/>
      <c r="F121" s="38"/>
      <c r="G121" s="40"/>
      <c r="H121" s="41">
        <v>0</v>
      </c>
    </row>
    <row r="122" spans="1:8" ht="15">
      <c r="A122" s="39" t="s">
        <v>1344</v>
      </c>
      <c r="B122" s="36"/>
      <c r="C122" s="36"/>
      <c r="D122" s="30" t="s">
        <v>1489</v>
      </c>
      <c r="E122" s="38"/>
      <c r="F122" s="38"/>
      <c r="G122" s="40"/>
      <c r="H122" s="41">
        <v>0</v>
      </c>
    </row>
    <row r="123" spans="1:8" ht="15">
      <c r="A123" s="39" t="s">
        <v>1490</v>
      </c>
      <c r="B123" s="36"/>
      <c r="C123" s="36"/>
      <c r="D123" s="30" t="s">
        <v>1491</v>
      </c>
      <c r="E123" s="38"/>
      <c r="F123" s="38"/>
      <c r="G123" s="40"/>
      <c r="H123" s="41">
        <v>0</v>
      </c>
    </row>
    <row r="124" spans="1:8" ht="15">
      <c r="A124" s="39" t="s">
        <v>1492</v>
      </c>
      <c r="B124" s="36"/>
      <c r="C124" s="36"/>
      <c r="D124" s="30" t="s">
        <v>1493</v>
      </c>
      <c r="E124" s="38"/>
      <c r="F124" s="38"/>
      <c r="G124" s="40"/>
      <c r="H124" s="41">
        <v>0</v>
      </c>
    </row>
    <row r="125" spans="1:8" ht="15">
      <c r="A125" s="39" t="s">
        <v>1494</v>
      </c>
      <c r="B125" s="36"/>
      <c r="C125" s="36"/>
      <c r="D125" s="30" t="s">
        <v>1495</v>
      </c>
      <c r="E125" s="38"/>
      <c r="F125" s="38"/>
      <c r="G125" s="40">
        <v>20791162</v>
      </c>
      <c r="H125" s="41"/>
    </row>
    <row r="126" spans="1:8" ht="15">
      <c r="A126" s="39" t="s">
        <v>1496</v>
      </c>
      <c r="B126" s="36"/>
      <c r="C126" s="36"/>
      <c r="D126" s="30" t="s">
        <v>1497</v>
      </c>
      <c r="E126" s="38"/>
      <c r="F126" s="38"/>
      <c r="G126" s="40"/>
      <c r="H126" s="41">
        <v>845478</v>
      </c>
    </row>
    <row r="127" spans="1:8" ht="15">
      <c r="A127" s="39" t="s">
        <v>1498</v>
      </c>
      <c r="B127" s="36"/>
      <c r="C127" s="36"/>
      <c r="D127" s="30" t="s">
        <v>1499</v>
      </c>
      <c r="E127" s="38"/>
      <c r="F127" s="38"/>
      <c r="G127" s="40"/>
      <c r="H127" s="41">
        <v>0</v>
      </c>
    </row>
    <row r="128" spans="1:8" ht="15">
      <c r="A128" s="39" t="s">
        <v>1500</v>
      </c>
      <c r="B128" s="36"/>
      <c r="C128" s="36"/>
      <c r="D128" s="30" t="s">
        <v>1501</v>
      </c>
      <c r="E128" s="38"/>
      <c r="F128" s="38"/>
      <c r="G128" s="40"/>
      <c r="H128" s="41">
        <v>0</v>
      </c>
    </row>
    <row r="129" spans="1:8" ht="15">
      <c r="A129" s="39" t="s">
        <v>1502</v>
      </c>
      <c r="B129" s="36"/>
      <c r="C129" s="36"/>
      <c r="D129" s="30" t="s">
        <v>1142</v>
      </c>
      <c r="E129" s="38"/>
      <c r="F129" s="38"/>
      <c r="G129" s="40"/>
      <c r="H129" s="32">
        <v>0</v>
      </c>
    </row>
    <row r="130" spans="1:8" ht="15">
      <c r="A130" s="39" t="s">
        <v>1143</v>
      </c>
      <c r="B130" s="36"/>
      <c r="C130" s="36"/>
      <c r="D130" s="30" t="s">
        <v>1144</v>
      </c>
      <c r="E130" s="38"/>
      <c r="F130" s="38"/>
      <c r="G130" s="40"/>
      <c r="H130" s="41">
        <v>38944800</v>
      </c>
    </row>
    <row r="131" spans="1:8" ht="15">
      <c r="A131" s="39" t="s">
        <v>1145</v>
      </c>
      <c r="B131" s="36"/>
      <c r="C131" s="36"/>
      <c r="D131" s="30" t="s">
        <v>1146</v>
      </c>
      <c r="E131" s="38"/>
      <c r="F131" s="38"/>
      <c r="G131" s="40"/>
      <c r="H131" s="41">
        <v>1773824655</v>
      </c>
    </row>
    <row r="132" spans="1:8" ht="15">
      <c r="A132" s="39" t="s">
        <v>1147</v>
      </c>
      <c r="B132" s="36"/>
      <c r="C132" s="36"/>
      <c r="D132" s="30" t="s">
        <v>1148</v>
      </c>
      <c r="E132" s="38"/>
      <c r="F132" s="38"/>
      <c r="G132" s="40"/>
      <c r="H132" s="41">
        <v>0</v>
      </c>
    </row>
    <row r="133" spans="1:8" ht="15">
      <c r="A133" s="39" t="s">
        <v>464</v>
      </c>
      <c r="B133" s="36"/>
      <c r="C133" s="36"/>
      <c r="D133" s="30" t="s">
        <v>465</v>
      </c>
      <c r="E133" s="38"/>
      <c r="F133" s="38"/>
      <c r="G133" s="40"/>
      <c r="H133" s="41">
        <v>0</v>
      </c>
    </row>
    <row r="134" spans="1:8" ht="15">
      <c r="A134" s="39" t="s">
        <v>467</v>
      </c>
      <c r="B134" s="36"/>
      <c r="C134" s="36"/>
      <c r="D134" s="30" t="s">
        <v>1971</v>
      </c>
      <c r="E134" s="38"/>
      <c r="F134" s="38"/>
      <c r="G134" s="40"/>
      <c r="H134" s="41">
        <v>17534871</v>
      </c>
    </row>
    <row r="135" spans="1:8" ht="15">
      <c r="A135" s="39" t="s">
        <v>1972</v>
      </c>
      <c r="B135" s="36"/>
      <c r="C135" s="36"/>
      <c r="D135" s="30" t="s">
        <v>1973</v>
      </c>
      <c r="E135" s="38"/>
      <c r="F135" s="38"/>
      <c r="G135" s="40"/>
      <c r="H135" s="41">
        <f>523021432+7269150</f>
        <v>530290582</v>
      </c>
    </row>
    <row r="136" spans="1:8" ht="15">
      <c r="A136" s="39" t="s">
        <v>1974</v>
      </c>
      <c r="B136" s="36"/>
      <c r="C136" s="36"/>
      <c r="D136" s="30" t="s">
        <v>1975</v>
      </c>
      <c r="E136" s="38"/>
      <c r="F136" s="38"/>
      <c r="G136" s="40"/>
      <c r="H136" s="41">
        <v>0</v>
      </c>
    </row>
    <row r="137" spans="1:8" ht="15">
      <c r="A137" s="39" t="s">
        <v>1976</v>
      </c>
      <c r="B137" s="36"/>
      <c r="C137" s="36"/>
      <c r="D137" s="30" t="s">
        <v>1977</v>
      </c>
      <c r="E137" s="38"/>
      <c r="F137" s="38"/>
      <c r="G137" s="40"/>
      <c r="H137" s="41">
        <v>0</v>
      </c>
    </row>
    <row r="138" spans="1:8" ht="15">
      <c r="A138" s="39" t="s">
        <v>1978</v>
      </c>
      <c r="B138" s="36"/>
      <c r="C138" s="36"/>
      <c r="D138" s="30" t="s">
        <v>1979</v>
      </c>
      <c r="E138" s="38"/>
      <c r="F138" s="38"/>
      <c r="G138" s="40"/>
      <c r="H138" s="41">
        <v>461916200</v>
      </c>
    </row>
    <row r="139" spans="1:8" ht="15">
      <c r="A139" s="39" t="s">
        <v>1980</v>
      </c>
      <c r="B139" s="36"/>
      <c r="C139" s="36"/>
      <c r="D139" s="30" t="s">
        <v>1981</v>
      </c>
      <c r="E139" s="38"/>
      <c r="F139" s="38"/>
      <c r="G139" s="40"/>
      <c r="H139" s="41">
        <v>1907825</v>
      </c>
    </row>
    <row r="140" spans="1:8" ht="15">
      <c r="A140" s="39" t="s">
        <v>1982</v>
      </c>
      <c r="B140" s="36"/>
      <c r="C140" s="36"/>
      <c r="D140" s="30" t="s">
        <v>1983</v>
      </c>
      <c r="E140" s="38"/>
      <c r="F140" s="38"/>
      <c r="G140" s="40"/>
      <c r="H140" s="41">
        <v>7177783000</v>
      </c>
    </row>
    <row r="141" spans="1:8" ht="15">
      <c r="A141" s="39" t="s">
        <v>1984</v>
      </c>
      <c r="B141" s="36"/>
      <c r="C141" s="36"/>
      <c r="D141" s="30" t="s">
        <v>1985</v>
      </c>
      <c r="E141" s="38"/>
      <c r="F141" s="38"/>
      <c r="G141" s="40"/>
      <c r="H141" s="41">
        <v>19766935</v>
      </c>
    </row>
    <row r="142" spans="1:8" ht="15">
      <c r="A142" s="39" t="s">
        <v>1986</v>
      </c>
      <c r="B142" s="36"/>
      <c r="C142" s="36"/>
      <c r="D142" s="30" t="s">
        <v>1987</v>
      </c>
      <c r="E142" s="38"/>
      <c r="F142" s="38"/>
      <c r="G142" s="40"/>
      <c r="H142" s="41">
        <v>408494717</v>
      </c>
    </row>
    <row r="143" spans="1:8" ht="15">
      <c r="A143" s="39" t="s">
        <v>1986</v>
      </c>
      <c r="B143" s="36"/>
      <c r="C143" s="36"/>
      <c r="D143" s="30" t="s">
        <v>1988</v>
      </c>
      <c r="E143" s="38"/>
      <c r="F143" s="38"/>
      <c r="G143" s="40"/>
      <c r="H143" s="41">
        <v>0</v>
      </c>
    </row>
    <row r="144" spans="1:8" ht="15">
      <c r="A144" s="39" t="s">
        <v>1989</v>
      </c>
      <c r="B144" s="36"/>
      <c r="C144" s="36"/>
      <c r="D144" s="30" t="s">
        <v>1990</v>
      </c>
      <c r="E144" s="38"/>
      <c r="F144" s="38"/>
      <c r="G144" s="40"/>
      <c r="H144" s="41">
        <v>55929677</v>
      </c>
    </row>
    <row r="145" spans="1:8" ht="15">
      <c r="A145" s="39" t="s">
        <v>1989</v>
      </c>
      <c r="B145" s="36"/>
      <c r="C145" s="36"/>
      <c r="D145" s="30" t="s">
        <v>1991</v>
      </c>
      <c r="E145" s="38"/>
      <c r="F145" s="38"/>
      <c r="G145" s="40"/>
      <c r="H145" s="41">
        <v>94527471</v>
      </c>
    </row>
    <row r="146" spans="1:8" ht="15">
      <c r="A146" s="39" t="s">
        <v>1992</v>
      </c>
      <c r="B146" s="36"/>
      <c r="C146" s="36"/>
      <c r="D146" s="49" t="s">
        <v>1993</v>
      </c>
      <c r="E146" s="38"/>
      <c r="F146" s="38"/>
      <c r="G146" s="40"/>
      <c r="H146" s="41">
        <v>0</v>
      </c>
    </row>
    <row r="147" spans="1:8" ht="15">
      <c r="A147" s="39" t="s">
        <v>1992</v>
      </c>
      <c r="B147" s="36"/>
      <c r="C147" s="36"/>
      <c r="D147" s="49" t="s">
        <v>1994</v>
      </c>
      <c r="E147" s="38"/>
      <c r="F147" s="38"/>
      <c r="G147" s="40"/>
      <c r="H147" s="41">
        <v>54602226</v>
      </c>
    </row>
    <row r="148" spans="1:8" ht="15">
      <c r="A148" s="36"/>
      <c r="B148" s="36"/>
      <c r="C148" s="36"/>
      <c r="D148" s="30"/>
      <c r="E148" s="38"/>
      <c r="F148" s="38"/>
      <c r="G148" s="45"/>
      <c r="H148" s="45"/>
    </row>
    <row r="149" spans="1:8" ht="15">
      <c r="A149" s="39" t="s">
        <v>1995</v>
      </c>
      <c r="B149" s="36"/>
      <c r="C149" s="22"/>
      <c r="D149" s="30" t="s">
        <v>1996</v>
      </c>
      <c r="E149" s="38"/>
      <c r="F149" s="38"/>
      <c r="G149" s="40"/>
      <c r="H149" s="41">
        <v>63293839803</v>
      </c>
    </row>
    <row r="150" spans="1:8" ht="15">
      <c r="A150" s="39" t="s">
        <v>1997</v>
      </c>
      <c r="B150" s="36"/>
      <c r="C150" s="22"/>
      <c r="D150" s="30" t="s">
        <v>1998</v>
      </c>
      <c r="E150" s="38"/>
      <c r="F150" s="38"/>
      <c r="G150" s="40"/>
      <c r="H150" s="41">
        <v>6846339668</v>
      </c>
    </row>
    <row r="151" spans="1:8" ht="15">
      <c r="A151" s="39" t="s">
        <v>1999</v>
      </c>
      <c r="B151" s="36"/>
      <c r="C151" s="22"/>
      <c r="D151" s="30" t="s">
        <v>2000</v>
      </c>
      <c r="E151" s="38"/>
      <c r="F151" s="38"/>
      <c r="G151" s="40"/>
      <c r="H151" s="41">
        <v>27055027</v>
      </c>
    </row>
    <row r="152" spans="1:8" ht="15">
      <c r="A152" s="39" t="s">
        <v>2001</v>
      </c>
      <c r="B152" s="36"/>
      <c r="C152" s="22"/>
      <c r="D152" s="30" t="s">
        <v>2002</v>
      </c>
      <c r="E152" s="38"/>
      <c r="F152" s="38"/>
      <c r="G152" s="40"/>
      <c r="H152" s="41">
        <v>23166547</v>
      </c>
    </row>
    <row r="153" spans="1:8" ht="15">
      <c r="A153" s="39" t="s">
        <v>2003</v>
      </c>
      <c r="B153" s="36"/>
      <c r="C153" s="22"/>
      <c r="D153" s="30" t="s">
        <v>2004</v>
      </c>
      <c r="E153" s="38"/>
      <c r="F153" s="38"/>
      <c r="G153" s="40"/>
      <c r="H153" s="41">
        <v>626102978</v>
      </c>
    </row>
    <row r="154" spans="1:8" ht="15">
      <c r="A154" s="39" t="s">
        <v>2005</v>
      </c>
      <c r="B154" s="36"/>
      <c r="C154" s="22"/>
      <c r="D154" s="30" t="s">
        <v>2006</v>
      </c>
      <c r="E154" s="38"/>
      <c r="F154" s="38"/>
      <c r="G154" s="40"/>
      <c r="H154" s="41">
        <v>52962766</v>
      </c>
    </row>
    <row r="155" spans="1:8" ht="15">
      <c r="A155" s="39" t="s">
        <v>2007</v>
      </c>
      <c r="B155" s="36"/>
      <c r="C155" s="22"/>
      <c r="D155" s="30" t="s">
        <v>2008</v>
      </c>
      <c r="E155" s="38"/>
      <c r="F155" s="38"/>
      <c r="G155" s="40"/>
      <c r="H155" s="41">
        <v>967885110</v>
      </c>
    </row>
    <row r="156" spans="1:8" ht="15">
      <c r="A156" s="39" t="s">
        <v>2009</v>
      </c>
      <c r="B156" s="36"/>
      <c r="C156" s="36"/>
      <c r="D156" s="30" t="s">
        <v>2010</v>
      </c>
      <c r="E156" s="38"/>
      <c r="F156" s="38"/>
      <c r="G156" s="40">
        <v>0</v>
      </c>
      <c r="H156" s="41"/>
    </row>
    <row r="157" spans="1:8" ht="15">
      <c r="A157" s="39" t="s">
        <v>2011</v>
      </c>
      <c r="B157" s="36"/>
      <c r="C157" s="22"/>
      <c r="D157" s="30" t="s">
        <v>2012</v>
      </c>
      <c r="E157" s="38"/>
      <c r="F157" s="38"/>
      <c r="G157" s="40"/>
      <c r="H157" s="41">
        <v>722019576</v>
      </c>
    </row>
    <row r="158" spans="1:8" ht="15">
      <c r="A158" s="39" t="s">
        <v>2013</v>
      </c>
      <c r="B158" s="36"/>
      <c r="C158" s="36"/>
      <c r="D158" s="30" t="s">
        <v>2014</v>
      </c>
      <c r="E158" s="38"/>
      <c r="F158" s="38"/>
      <c r="G158" s="40"/>
      <c r="H158" s="41">
        <v>895017</v>
      </c>
    </row>
    <row r="159" spans="1:8" ht="15">
      <c r="A159" s="39" t="s">
        <v>2015</v>
      </c>
      <c r="B159" s="36"/>
      <c r="C159" s="22"/>
      <c r="D159" s="30" t="s">
        <v>2016</v>
      </c>
      <c r="E159" s="38"/>
      <c r="F159" s="38"/>
      <c r="G159" s="40"/>
      <c r="H159" s="41">
        <v>1000000</v>
      </c>
    </row>
    <row r="160" spans="1:8" ht="15">
      <c r="A160" s="36"/>
      <c r="B160" s="36"/>
      <c r="C160" s="22"/>
      <c r="D160" s="30"/>
      <c r="E160" s="38"/>
      <c r="F160" s="38"/>
      <c r="G160" s="46"/>
      <c r="H160" s="45"/>
    </row>
    <row r="161" spans="1:8" ht="15">
      <c r="A161" s="39" t="s">
        <v>2017</v>
      </c>
      <c r="B161" s="39" t="s">
        <v>2018</v>
      </c>
      <c r="C161" s="22"/>
      <c r="D161" s="30" t="s">
        <v>2019</v>
      </c>
      <c r="E161" s="38"/>
      <c r="F161" s="38"/>
      <c r="G161" s="40">
        <v>1695045981</v>
      </c>
      <c r="H161" s="45"/>
    </row>
    <row r="162" spans="1:8" ht="15">
      <c r="A162" s="39" t="s">
        <v>2020</v>
      </c>
      <c r="B162" s="39" t="s">
        <v>2018</v>
      </c>
      <c r="C162" s="36"/>
      <c r="D162" s="30" t="s">
        <v>2021</v>
      </c>
      <c r="E162" s="38"/>
      <c r="F162" s="38"/>
      <c r="G162" s="40">
        <v>10302866562</v>
      </c>
      <c r="H162" s="45"/>
    </row>
    <row r="163" spans="1:8" ht="15">
      <c r="A163" s="39" t="s">
        <v>2022</v>
      </c>
      <c r="B163" s="39" t="s">
        <v>2023</v>
      </c>
      <c r="C163" s="22"/>
      <c r="D163" s="30" t="s">
        <v>2024</v>
      </c>
      <c r="E163" s="38"/>
      <c r="F163" s="38"/>
      <c r="G163" s="40">
        <v>2106687280</v>
      </c>
      <c r="H163" s="45"/>
    </row>
    <row r="164" spans="1:8" ht="15">
      <c r="A164" s="39" t="s">
        <v>2025</v>
      </c>
      <c r="B164" s="39" t="s">
        <v>2023</v>
      </c>
      <c r="C164" s="22"/>
      <c r="D164" s="30" t="s">
        <v>2026</v>
      </c>
      <c r="E164" s="38"/>
      <c r="F164" s="38"/>
      <c r="G164" s="40">
        <v>42434813</v>
      </c>
      <c r="H164" s="45"/>
    </row>
    <row r="165" spans="1:8" ht="15">
      <c r="A165" s="39" t="s">
        <v>2027</v>
      </c>
      <c r="B165" s="39" t="s">
        <v>2018</v>
      </c>
      <c r="C165" s="22"/>
      <c r="D165" s="30" t="s">
        <v>2028</v>
      </c>
      <c r="E165" s="38"/>
      <c r="F165" s="38"/>
      <c r="G165" s="40">
        <v>2483556777</v>
      </c>
      <c r="H165" s="45"/>
    </row>
    <row r="166" spans="1:8" ht="15">
      <c r="A166" s="39" t="s">
        <v>2029</v>
      </c>
      <c r="B166" s="39" t="s">
        <v>2018</v>
      </c>
      <c r="C166" s="22"/>
      <c r="D166" s="30" t="s">
        <v>2030</v>
      </c>
      <c r="E166" s="38"/>
      <c r="F166" s="38"/>
      <c r="G166" s="40">
        <v>205166908</v>
      </c>
      <c r="H166" s="45"/>
    </row>
    <row r="167" spans="1:8" ht="15">
      <c r="A167" s="39" t="s">
        <v>2031</v>
      </c>
      <c r="B167" s="39" t="s">
        <v>2032</v>
      </c>
      <c r="C167" s="36"/>
      <c r="D167" s="30" t="s">
        <v>2033</v>
      </c>
      <c r="E167" s="38"/>
      <c r="F167" s="38"/>
      <c r="G167" s="40">
        <v>2717523561.8300004</v>
      </c>
      <c r="H167" s="45"/>
    </row>
    <row r="168" spans="1:8" ht="15">
      <c r="A168" s="39" t="s">
        <v>2031</v>
      </c>
      <c r="B168" s="39" t="s">
        <v>2034</v>
      </c>
      <c r="C168" s="36"/>
      <c r="D168" s="30" t="s">
        <v>2035</v>
      </c>
      <c r="E168" s="38"/>
      <c r="F168" s="38"/>
      <c r="G168" s="40">
        <v>204713.06</v>
      </c>
      <c r="H168" s="45"/>
    </row>
    <row r="169" spans="1:8" ht="15">
      <c r="A169" s="39" t="s">
        <v>2031</v>
      </c>
      <c r="B169" s="39" t="s">
        <v>2036</v>
      </c>
      <c r="C169" s="36"/>
      <c r="D169" s="30" t="s">
        <v>2037</v>
      </c>
      <c r="E169" s="38"/>
      <c r="F169" s="38"/>
      <c r="G169" s="40">
        <v>2050489.82</v>
      </c>
      <c r="H169" s="45"/>
    </row>
    <row r="170" spans="1:8" ht="15">
      <c r="A170" s="39" t="s">
        <v>2038</v>
      </c>
      <c r="B170" s="39" t="s">
        <v>2032</v>
      </c>
      <c r="C170" s="22"/>
      <c r="D170" s="30" t="s">
        <v>2039</v>
      </c>
      <c r="E170" s="38"/>
      <c r="F170" s="38"/>
      <c r="G170" s="50">
        <v>1834945</v>
      </c>
      <c r="H170" s="45"/>
    </row>
    <row r="171" spans="1:8" ht="15">
      <c r="A171" s="39" t="s">
        <v>2040</v>
      </c>
      <c r="B171" s="39" t="s">
        <v>2041</v>
      </c>
      <c r="C171" s="22"/>
      <c r="D171" s="30" t="s">
        <v>2042</v>
      </c>
      <c r="E171" s="38"/>
      <c r="F171" s="38"/>
      <c r="G171" s="40">
        <v>196917205.36</v>
      </c>
      <c r="H171" s="45"/>
    </row>
    <row r="172" spans="1:8" ht="15">
      <c r="A172" s="39" t="s">
        <v>2040</v>
      </c>
      <c r="B172" s="39" t="s">
        <v>2023</v>
      </c>
      <c r="C172" s="22"/>
      <c r="D172" s="30" t="s">
        <v>2043</v>
      </c>
      <c r="E172" s="38"/>
      <c r="F172" s="38"/>
      <c r="G172" s="40">
        <v>86989253.63</v>
      </c>
      <c r="H172" s="45"/>
    </row>
    <row r="173" spans="1:8" ht="15">
      <c r="A173" s="39" t="s">
        <v>2040</v>
      </c>
      <c r="B173" s="39" t="s">
        <v>2044</v>
      </c>
      <c r="C173" s="22"/>
      <c r="D173" s="30" t="s">
        <v>1694</v>
      </c>
      <c r="E173" s="38"/>
      <c r="F173" s="38"/>
      <c r="G173" s="40">
        <v>1116667976.25</v>
      </c>
      <c r="H173" s="45"/>
    </row>
    <row r="174" spans="1:8" ht="15">
      <c r="A174" s="39" t="s">
        <v>2040</v>
      </c>
      <c r="B174" s="39" t="s">
        <v>2018</v>
      </c>
      <c r="C174" s="36"/>
      <c r="D174" s="30" t="s">
        <v>1695</v>
      </c>
      <c r="E174" s="38"/>
      <c r="F174" s="38"/>
      <c r="G174" s="40">
        <v>1575705621.26</v>
      </c>
      <c r="H174" s="45"/>
    </row>
    <row r="175" spans="1:8" ht="15">
      <c r="A175" s="39" t="s">
        <v>2040</v>
      </c>
      <c r="B175" s="39" t="s">
        <v>1696</v>
      </c>
      <c r="C175" s="36"/>
      <c r="D175" s="30" t="s">
        <v>1734</v>
      </c>
      <c r="E175" s="38"/>
      <c r="F175" s="38"/>
      <c r="G175" s="40">
        <v>943994780.24</v>
      </c>
      <c r="H175" s="45"/>
    </row>
    <row r="176" spans="1:8" ht="15">
      <c r="A176" s="39" t="s">
        <v>2040</v>
      </c>
      <c r="B176" s="39" t="s">
        <v>2032</v>
      </c>
      <c r="C176" s="22"/>
      <c r="D176" s="30" t="s">
        <v>1735</v>
      </c>
      <c r="E176" s="38"/>
      <c r="F176" s="38"/>
      <c r="G176" s="40">
        <v>68419764.26</v>
      </c>
      <c r="H176" s="45"/>
    </row>
    <row r="177" spans="1:8" ht="15">
      <c r="A177" s="39" t="s">
        <v>1736</v>
      </c>
      <c r="B177" s="39" t="s">
        <v>1696</v>
      </c>
      <c r="C177" s="36"/>
      <c r="D177" s="30" t="s">
        <v>1737</v>
      </c>
      <c r="E177" s="38"/>
      <c r="F177" s="38"/>
      <c r="G177" s="40">
        <v>90697233</v>
      </c>
      <c r="H177" s="45"/>
    </row>
    <row r="178" spans="1:8" ht="15">
      <c r="A178" s="39" t="s">
        <v>1738</v>
      </c>
      <c r="B178" s="39" t="s">
        <v>1696</v>
      </c>
      <c r="C178" s="36"/>
      <c r="D178" s="30" t="s">
        <v>1739</v>
      </c>
      <c r="E178" s="38"/>
      <c r="F178" s="38"/>
      <c r="G178" s="40">
        <v>4636800501</v>
      </c>
      <c r="H178" s="45"/>
    </row>
    <row r="179" spans="1:8" ht="15">
      <c r="A179" s="39" t="s">
        <v>1740</v>
      </c>
      <c r="B179" s="39" t="s">
        <v>1696</v>
      </c>
      <c r="C179" s="36"/>
      <c r="D179" s="30" t="s">
        <v>1741</v>
      </c>
      <c r="E179" s="38"/>
      <c r="F179" s="38"/>
      <c r="G179" s="40">
        <v>0</v>
      </c>
      <c r="H179" s="45"/>
    </row>
    <row r="180" spans="1:8" ht="15">
      <c r="A180" s="39" t="s">
        <v>1742</v>
      </c>
      <c r="B180" s="39" t="s">
        <v>1743</v>
      </c>
      <c r="C180" s="36"/>
      <c r="D180" s="30" t="s">
        <v>1744</v>
      </c>
      <c r="E180" s="38"/>
      <c r="F180" s="38"/>
      <c r="G180" s="40">
        <v>85484994</v>
      </c>
      <c r="H180" s="45"/>
    </row>
    <row r="181" spans="1:8" ht="15">
      <c r="A181" s="39" t="s">
        <v>1745</v>
      </c>
      <c r="B181" s="39" t="s">
        <v>1696</v>
      </c>
      <c r="C181" s="22"/>
      <c r="D181" s="30" t="s">
        <v>1746</v>
      </c>
      <c r="E181" s="38"/>
      <c r="F181" s="38"/>
      <c r="G181" s="40">
        <v>231140750</v>
      </c>
      <c r="H181" s="45"/>
    </row>
    <row r="182" spans="1:8" ht="15">
      <c r="A182" s="39" t="s">
        <v>1747</v>
      </c>
      <c r="B182" s="39" t="s">
        <v>2044</v>
      </c>
      <c r="C182" s="36"/>
      <c r="D182" s="30" t="s">
        <v>359</v>
      </c>
      <c r="E182" s="38"/>
      <c r="F182" s="38"/>
      <c r="G182" s="40">
        <v>23945353.29</v>
      </c>
      <c r="H182" s="45"/>
    </row>
    <row r="183" spans="1:8" ht="15">
      <c r="A183" s="39" t="s">
        <v>1747</v>
      </c>
      <c r="B183" s="39" t="s">
        <v>2018</v>
      </c>
      <c r="C183" s="36"/>
      <c r="D183" s="30" t="s">
        <v>360</v>
      </c>
      <c r="E183" s="38"/>
      <c r="F183" s="38"/>
      <c r="G183" s="40">
        <v>32937605.91</v>
      </c>
      <c r="H183" s="45"/>
    </row>
    <row r="184" spans="1:8" ht="15">
      <c r="A184" s="39" t="s">
        <v>361</v>
      </c>
      <c r="B184" s="39" t="s">
        <v>1696</v>
      </c>
      <c r="C184" s="36"/>
      <c r="D184" s="30" t="s">
        <v>362</v>
      </c>
      <c r="E184" s="38"/>
      <c r="F184" s="38"/>
      <c r="G184" s="40">
        <v>446527062</v>
      </c>
      <c r="H184" s="41"/>
    </row>
    <row r="185" spans="1:8" ht="15">
      <c r="A185" s="39" t="s">
        <v>363</v>
      </c>
      <c r="B185" s="39" t="s">
        <v>2034</v>
      </c>
      <c r="C185" s="36"/>
      <c r="D185" s="30" t="s">
        <v>1851</v>
      </c>
      <c r="E185" s="38"/>
      <c r="F185" s="38"/>
      <c r="G185" s="40">
        <v>21781492</v>
      </c>
      <c r="H185" s="41"/>
    </row>
    <row r="186" spans="1:8" ht="15">
      <c r="A186" s="39" t="s">
        <v>364</v>
      </c>
      <c r="B186" s="39" t="s">
        <v>2018</v>
      </c>
      <c r="C186" s="36"/>
      <c r="D186" s="36" t="s">
        <v>365</v>
      </c>
      <c r="E186" s="38"/>
      <c r="F186" s="38"/>
      <c r="G186" s="40">
        <v>189786016</v>
      </c>
      <c r="H186" s="41"/>
    </row>
    <row r="187" spans="1:8" ht="15">
      <c r="A187" s="39" t="s">
        <v>366</v>
      </c>
      <c r="B187" s="39" t="s">
        <v>2023</v>
      </c>
      <c r="C187" s="36"/>
      <c r="D187" s="30" t="s">
        <v>1154</v>
      </c>
      <c r="E187" s="38"/>
      <c r="F187" s="38"/>
      <c r="G187" s="40">
        <v>68620057</v>
      </c>
      <c r="H187" s="41"/>
    </row>
    <row r="188" spans="1:8" ht="15">
      <c r="A188" s="39" t="s">
        <v>1155</v>
      </c>
      <c r="B188" s="36" t="s">
        <v>1156</v>
      </c>
      <c r="C188" s="36"/>
      <c r="D188" s="30" t="s">
        <v>1157</v>
      </c>
      <c r="E188" s="38"/>
      <c r="F188" s="38"/>
      <c r="G188" s="40"/>
      <c r="H188" s="41">
        <v>650208008</v>
      </c>
    </row>
    <row r="189" spans="1:8" ht="15">
      <c r="A189" s="39" t="s">
        <v>1158</v>
      </c>
      <c r="B189" s="39" t="s">
        <v>1159</v>
      </c>
      <c r="C189" s="36"/>
      <c r="D189" s="30" t="s">
        <v>1160</v>
      </c>
      <c r="E189" s="38"/>
      <c r="F189" s="38"/>
      <c r="G189" s="40">
        <f>59378940.35-27.9</f>
        <v>59378912.45</v>
      </c>
      <c r="H189" s="51"/>
    </row>
    <row r="190" spans="1:8" ht="15">
      <c r="A190" s="39" t="s">
        <v>1158</v>
      </c>
      <c r="B190" s="39" t="s">
        <v>1161</v>
      </c>
      <c r="C190" s="36"/>
      <c r="D190" s="30" t="s">
        <v>1162</v>
      </c>
      <c r="E190" s="38"/>
      <c r="F190" s="38"/>
      <c r="G190" s="40">
        <v>11794477.9</v>
      </c>
      <c r="H190" s="45"/>
    </row>
    <row r="191" spans="1:8" ht="15">
      <c r="A191" s="39" t="s">
        <v>1158</v>
      </c>
      <c r="B191" s="39" t="s">
        <v>1163</v>
      </c>
      <c r="C191" s="36"/>
      <c r="D191" s="30" t="s">
        <v>1164</v>
      </c>
      <c r="E191" s="38"/>
      <c r="F191" s="38"/>
      <c r="G191" s="40">
        <v>28323111.450000003</v>
      </c>
      <c r="H191" s="45"/>
    </row>
    <row r="192" spans="1:8" ht="15">
      <c r="A192" s="39" t="s">
        <v>1158</v>
      </c>
      <c r="B192" s="39" t="s">
        <v>1165</v>
      </c>
      <c r="C192" s="36"/>
      <c r="D192" s="30" t="s">
        <v>1166</v>
      </c>
      <c r="E192" s="38"/>
      <c r="F192" s="38"/>
      <c r="G192" s="40">
        <v>35293114.650000006</v>
      </c>
      <c r="H192" s="45"/>
    </row>
    <row r="193" spans="1:8" ht="15">
      <c r="A193" s="39" t="s">
        <v>1158</v>
      </c>
      <c r="B193" s="39" t="s">
        <v>1167</v>
      </c>
      <c r="C193" s="36"/>
      <c r="D193" s="30" t="s">
        <v>1168</v>
      </c>
      <c r="E193" s="38"/>
      <c r="F193" s="52"/>
      <c r="G193" s="40">
        <v>0</v>
      </c>
      <c r="H193" s="45"/>
    </row>
    <row r="194" spans="1:8" ht="15">
      <c r="A194" s="39" t="s">
        <v>1158</v>
      </c>
      <c r="B194" s="39" t="s">
        <v>1169</v>
      </c>
      <c r="C194" s="36"/>
      <c r="D194" s="30" t="s">
        <v>0</v>
      </c>
      <c r="E194" s="38"/>
      <c r="F194" s="52"/>
      <c r="G194" s="40">
        <v>23088847.950000003</v>
      </c>
      <c r="H194" s="45"/>
    </row>
    <row r="195" spans="1:8" ht="15">
      <c r="A195" s="39" t="s">
        <v>1158</v>
      </c>
      <c r="B195" s="39" t="s">
        <v>1</v>
      </c>
      <c r="C195" s="22"/>
      <c r="D195" s="30" t="s">
        <v>727</v>
      </c>
      <c r="E195" s="38"/>
      <c r="F195" s="52"/>
      <c r="G195" s="40">
        <v>23679261.7</v>
      </c>
      <c r="H195" s="45"/>
    </row>
    <row r="196" spans="1:8" ht="15">
      <c r="A196" s="39" t="s">
        <v>1158</v>
      </c>
      <c r="B196" s="39" t="s">
        <v>728</v>
      </c>
      <c r="C196" s="22"/>
      <c r="D196" s="30" t="s">
        <v>729</v>
      </c>
      <c r="E196" s="38"/>
      <c r="F196" s="52"/>
      <c r="G196" s="40">
        <v>6820757.399999999</v>
      </c>
      <c r="H196" s="45"/>
    </row>
    <row r="197" spans="1:8" ht="15">
      <c r="A197" s="39" t="s">
        <v>1158</v>
      </c>
      <c r="B197" s="39" t="s">
        <v>2041</v>
      </c>
      <c r="C197" s="22"/>
      <c r="D197" s="30" t="s">
        <v>730</v>
      </c>
      <c r="E197" s="38"/>
      <c r="F197" s="52"/>
      <c r="G197" s="40">
        <v>80746328.09999998</v>
      </c>
      <c r="H197" s="45"/>
    </row>
    <row r="198" spans="1:8" ht="15">
      <c r="A198" s="39" t="s">
        <v>1158</v>
      </c>
      <c r="B198" s="39" t="s">
        <v>731</v>
      </c>
      <c r="C198" s="36"/>
      <c r="D198" s="30" t="s">
        <v>1032</v>
      </c>
      <c r="E198" s="38"/>
      <c r="F198" s="52"/>
      <c r="G198" s="40">
        <v>9341863.5</v>
      </c>
      <c r="H198" s="45"/>
    </row>
    <row r="199" spans="1:8" ht="15">
      <c r="A199" s="39" t="s">
        <v>1158</v>
      </c>
      <c r="B199" s="39" t="s">
        <v>2023</v>
      </c>
      <c r="C199" s="36"/>
      <c r="D199" s="30" t="s">
        <v>1033</v>
      </c>
      <c r="E199" s="38"/>
      <c r="F199" s="52"/>
      <c r="G199" s="40">
        <v>58443625.54999999</v>
      </c>
      <c r="H199" s="45"/>
    </row>
    <row r="200" spans="1:8" ht="15">
      <c r="A200" s="39" t="s">
        <v>1158</v>
      </c>
      <c r="B200" s="39" t="s">
        <v>2044</v>
      </c>
      <c r="C200" s="22"/>
      <c r="D200" s="30" t="s">
        <v>1034</v>
      </c>
      <c r="E200" s="38"/>
      <c r="F200" s="52"/>
      <c r="G200" s="40">
        <v>68399269.14999999</v>
      </c>
      <c r="H200" s="45"/>
    </row>
    <row r="201" spans="1:8" ht="15">
      <c r="A201" s="39" t="s">
        <v>1158</v>
      </c>
      <c r="B201" s="39" t="s">
        <v>2018</v>
      </c>
      <c r="C201" s="22"/>
      <c r="D201" s="30" t="s">
        <v>1035</v>
      </c>
      <c r="E201" s="38"/>
      <c r="F201" s="52"/>
      <c r="G201" s="40">
        <v>79557724.1</v>
      </c>
      <c r="H201" s="45"/>
    </row>
    <row r="202" spans="1:8" ht="15">
      <c r="A202" s="39" t="s">
        <v>1158</v>
      </c>
      <c r="B202" s="39" t="s">
        <v>1696</v>
      </c>
      <c r="C202" s="22"/>
      <c r="D202" s="30" t="s">
        <v>1036</v>
      </c>
      <c r="E202" s="38"/>
      <c r="F202" s="52"/>
      <c r="G202" s="40">
        <v>96731855.85000002</v>
      </c>
      <c r="H202" s="45"/>
    </row>
    <row r="203" spans="1:8" ht="15">
      <c r="A203" s="39" t="s">
        <v>1158</v>
      </c>
      <c r="B203" s="39" t="s">
        <v>2032</v>
      </c>
      <c r="C203" s="36"/>
      <c r="D203" s="30" t="s">
        <v>1037</v>
      </c>
      <c r="E203" s="38"/>
      <c r="F203" s="52"/>
      <c r="G203" s="40">
        <v>102863928.99999999</v>
      </c>
      <c r="H203" s="45"/>
    </row>
    <row r="204" spans="1:8" ht="15">
      <c r="A204" s="39" t="s">
        <v>1158</v>
      </c>
      <c r="B204" s="39" t="s">
        <v>1038</v>
      </c>
      <c r="C204" s="22"/>
      <c r="D204" s="30" t="s">
        <v>1039</v>
      </c>
      <c r="E204" s="38"/>
      <c r="F204" s="52"/>
      <c r="G204" s="40">
        <v>0</v>
      </c>
      <c r="H204" s="45"/>
    </row>
    <row r="205" spans="1:8" ht="15">
      <c r="A205" s="39" t="s">
        <v>1158</v>
      </c>
      <c r="B205" s="39" t="s">
        <v>1040</v>
      </c>
      <c r="C205" s="36"/>
      <c r="D205" s="30" t="s">
        <v>1041</v>
      </c>
      <c r="E205" s="38"/>
      <c r="F205" s="52"/>
      <c r="G205" s="40">
        <v>177025860.74999994</v>
      </c>
      <c r="H205" s="45"/>
    </row>
    <row r="206" spans="1:8" ht="15">
      <c r="A206" s="39" t="s">
        <v>1158</v>
      </c>
      <c r="B206" s="39" t="s">
        <v>1042</v>
      </c>
      <c r="C206" s="36"/>
      <c r="D206" s="30" t="s">
        <v>1043</v>
      </c>
      <c r="E206" s="38"/>
      <c r="F206" s="52"/>
      <c r="G206" s="40">
        <v>27801448.7</v>
      </c>
      <c r="H206" s="45"/>
    </row>
    <row r="207" spans="1:8" ht="15">
      <c r="A207" s="39" t="s">
        <v>1158</v>
      </c>
      <c r="B207" s="39" t="s">
        <v>1743</v>
      </c>
      <c r="C207" s="22"/>
      <c r="D207" s="30" t="s">
        <v>1044</v>
      </c>
      <c r="E207" s="38"/>
      <c r="F207" s="52"/>
      <c r="G207" s="40">
        <v>28634331.999999996</v>
      </c>
      <c r="H207" s="45"/>
    </row>
    <row r="208" spans="1:8" ht="15">
      <c r="A208" s="39" t="s">
        <v>1158</v>
      </c>
      <c r="B208" s="39" t="s">
        <v>1045</v>
      </c>
      <c r="C208" s="22"/>
      <c r="D208" s="30" t="s">
        <v>1046</v>
      </c>
      <c r="E208" s="38"/>
      <c r="F208" s="52"/>
      <c r="G208" s="40">
        <v>122755242.45</v>
      </c>
      <c r="H208" s="45"/>
    </row>
    <row r="209" spans="1:8" ht="15">
      <c r="A209" s="39" t="s">
        <v>1158</v>
      </c>
      <c r="B209" s="39" t="s">
        <v>2034</v>
      </c>
      <c r="C209" s="22"/>
      <c r="D209" s="30" t="s">
        <v>1047</v>
      </c>
      <c r="E209" s="38"/>
      <c r="F209" s="52"/>
      <c r="G209" s="40">
        <v>8515227.600000001</v>
      </c>
      <c r="H209" s="45"/>
    </row>
    <row r="210" spans="1:8" ht="15">
      <c r="A210" s="39" t="s">
        <v>1158</v>
      </c>
      <c r="B210" s="39" t="s">
        <v>1048</v>
      </c>
      <c r="C210" s="22"/>
      <c r="D210" s="30" t="s">
        <v>1049</v>
      </c>
      <c r="E210" s="38"/>
      <c r="F210" s="52"/>
      <c r="G210" s="40">
        <v>8074925.5</v>
      </c>
      <c r="H210" s="45"/>
    </row>
    <row r="211" spans="1:8" ht="15">
      <c r="A211" s="39" t="s">
        <v>1158</v>
      </c>
      <c r="B211" s="39" t="s">
        <v>1050</v>
      </c>
      <c r="C211" s="22"/>
      <c r="D211" s="30" t="s">
        <v>1051</v>
      </c>
      <c r="E211" s="38"/>
      <c r="F211" s="52"/>
      <c r="G211" s="40">
        <v>7476952.8999999985</v>
      </c>
      <c r="H211" s="45"/>
    </row>
    <row r="212" spans="1:8" ht="15">
      <c r="A212" s="39" t="s">
        <v>1158</v>
      </c>
      <c r="B212" s="39" t="s">
        <v>1052</v>
      </c>
      <c r="C212" s="22"/>
      <c r="D212" s="30" t="s">
        <v>1053</v>
      </c>
      <c r="E212" s="38"/>
      <c r="F212" s="52"/>
      <c r="G212" s="40">
        <v>55562620.199999996</v>
      </c>
      <c r="H212" s="45"/>
    </row>
    <row r="213" spans="1:8" ht="15">
      <c r="A213" s="39" t="s">
        <v>1158</v>
      </c>
      <c r="B213" s="39" t="s">
        <v>1057</v>
      </c>
      <c r="C213" s="22"/>
      <c r="D213" s="30" t="s">
        <v>1058</v>
      </c>
      <c r="E213" s="38"/>
      <c r="F213" s="52"/>
      <c r="G213" s="40">
        <v>8331958.550000001</v>
      </c>
      <c r="H213" s="45"/>
    </row>
    <row r="214" spans="1:8" ht="15">
      <c r="A214" s="39" t="s">
        <v>1158</v>
      </c>
      <c r="B214" s="39" t="s">
        <v>1059</v>
      </c>
      <c r="C214" s="22"/>
      <c r="D214" s="30" t="s">
        <v>1060</v>
      </c>
      <c r="E214" s="38"/>
      <c r="F214" s="52"/>
      <c r="G214" s="40">
        <v>24874073.75</v>
      </c>
      <c r="H214" s="45"/>
    </row>
    <row r="215" spans="1:8" ht="15">
      <c r="A215" s="39" t="s">
        <v>1158</v>
      </c>
      <c r="B215" s="39" t="s">
        <v>2036</v>
      </c>
      <c r="C215" s="22"/>
      <c r="D215" s="30" t="s">
        <v>1061</v>
      </c>
      <c r="E215" s="38"/>
      <c r="F215" s="52"/>
      <c r="G215" s="40">
        <v>20321966.299999997</v>
      </c>
      <c r="H215" s="45"/>
    </row>
    <row r="216" spans="1:8" ht="15">
      <c r="A216" s="39" t="s">
        <v>1158</v>
      </c>
      <c r="B216" s="39" t="s">
        <v>1062</v>
      </c>
      <c r="C216" s="22"/>
      <c r="D216" s="30" t="s">
        <v>1063</v>
      </c>
      <c r="E216" s="38"/>
      <c r="F216" s="52"/>
      <c r="G216" s="40">
        <v>6820739.899999999</v>
      </c>
      <c r="H216" s="45"/>
    </row>
    <row r="217" spans="1:8" ht="15">
      <c r="A217" s="39" t="s">
        <v>1158</v>
      </c>
      <c r="B217" s="39" t="s">
        <v>1064</v>
      </c>
      <c r="C217" s="22"/>
      <c r="D217" s="30" t="s">
        <v>1065</v>
      </c>
      <c r="E217" s="38"/>
      <c r="F217" s="52"/>
      <c r="G217" s="40">
        <v>29027831.25</v>
      </c>
      <c r="H217" s="45"/>
    </row>
    <row r="218" spans="1:8" ht="15">
      <c r="A218" s="39" t="s">
        <v>1158</v>
      </c>
      <c r="B218" s="39" t="s">
        <v>1066</v>
      </c>
      <c r="C218" s="36"/>
      <c r="D218" s="30" t="s">
        <v>1067</v>
      </c>
      <c r="E218" s="38"/>
      <c r="F218" s="52"/>
      <c r="G218" s="40">
        <v>20664111.05</v>
      </c>
      <c r="H218" s="45"/>
    </row>
    <row r="219" spans="1:8" ht="15">
      <c r="A219" s="39" t="s">
        <v>1158</v>
      </c>
      <c r="B219" s="39" t="s">
        <v>778</v>
      </c>
      <c r="C219" s="22"/>
      <c r="D219" s="30" t="s">
        <v>779</v>
      </c>
      <c r="E219" s="38"/>
      <c r="F219" s="52"/>
      <c r="G219" s="40">
        <v>17144710.799999997</v>
      </c>
      <c r="H219" s="45"/>
    </row>
    <row r="220" spans="1:8" ht="15">
      <c r="A220" s="39" t="s">
        <v>780</v>
      </c>
      <c r="B220" s="39" t="s">
        <v>1159</v>
      </c>
      <c r="C220" s="36"/>
      <c r="D220" s="30" t="s">
        <v>781</v>
      </c>
      <c r="E220" s="38"/>
      <c r="F220" s="52"/>
      <c r="G220" s="40">
        <v>49469.2</v>
      </c>
      <c r="H220" s="45"/>
    </row>
    <row r="221" spans="1:8" ht="15">
      <c r="A221" s="39" t="s">
        <v>780</v>
      </c>
      <c r="B221" s="39" t="s">
        <v>1161</v>
      </c>
      <c r="C221" s="22"/>
      <c r="D221" s="30" t="s">
        <v>782</v>
      </c>
      <c r="E221" s="38"/>
      <c r="F221" s="52"/>
      <c r="G221" s="40">
        <v>0</v>
      </c>
      <c r="H221" s="45"/>
    </row>
    <row r="222" spans="1:8" ht="15">
      <c r="A222" s="39" t="s">
        <v>780</v>
      </c>
      <c r="B222" s="39" t="s">
        <v>1163</v>
      </c>
      <c r="C222" s="22"/>
      <c r="D222" s="30" t="s">
        <v>783</v>
      </c>
      <c r="E222" s="38"/>
      <c r="F222" s="52"/>
      <c r="G222" s="40">
        <v>17693470.650000002</v>
      </c>
      <c r="H222" s="45"/>
    </row>
    <row r="223" spans="1:8" ht="15">
      <c r="A223" s="39" t="s">
        <v>780</v>
      </c>
      <c r="B223" s="39" t="s">
        <v>1165</v>
      </c>
      <c r="C223" s="22"/>
      <c r="D223" s="30" t="s">
        <v>784</v>
      </c>
      <c r="E223" s="38"/>
      <c r="F223" s="52"/>
      <c r="G223" s="40">
        <v>13090721.149999999</v>
      </c>
      <c r="H223" s="45"/>
    </row>
    <row r="224" spans="1:8" ht="15">
      <c r="A224" s="39" t="s">
        <v>780</v>
      </c>
      <c r="B224" s="39" t="s">
        <v>1167</v>
      </c>
      <c r="C224" s="36"/>
      <c r="D224" s="30" t="s">
        <v>785</v>
      </c>
      <c r="E224" s="38"/>
      <c r="F224" s="52"/>
      <c r="G224" s="40">
        <v>0</v>
      </c>
      <c r="H224" s="45"/>
    </row>
    <row r="225" spans="1:8" ht="15">
      <c r="A225" s="39" t="s">
        <v>780</v>
      </c>
      <c r="B225" s="39" t="s">
        <v>1169</v>
      </c>
      <c r="C225" s="22"/>
      <c r="D225" s="30" t="s">
        <v>786</v>
      </c>
      <c r="E225" s="38"/>
      <c r="F225" s="38"/>
      <c r="G225" s="40">
        <v>1453127.85</v>
      </c>
      <c r="H225" s="45"/>
    </row>
    <row r="226" spans="1:8" ht="15">
      <c r="A226" s="39" t="s">
        <v>780</v>
      </c>
      <c r="B226" s="39" t="s">
        <v>1</v>
      </c>
      <c r="C226" s="22"/>
      <c r="D226" s="30" t="s">
        <v>787</v>
      </c>
      <c r="E226" s="38"/>
      <c r="F226" s="38"/>
      <c r="G226" s="40">
        <v>2212717</v>
      </c>
      <c r="H226" s="45"/>
    </row>
    <row r="227" spans="1:8" ht="15">
      <c r="A227" s="39" t="s">
        <v>780</v>
      </c>
      <c r="B227" s="39" t="s">
        <v>728</v>
      </c>
      <c r="C227" s="22"/>
      <c r="D227" s="30" t="s">
        <v>788</v>
      </c>
      <c r="E227" s="38"/>
      <c r="F227" s="38"/>
      <c r="G227" s="40">
        <v>0</v>
      </c>
      <c r="H227" s="45"/>
    </row>
    <row r="228" spans="1:8" ht="15">
      <c r="A228" s="39" t="s">
        <v>780</v>
      </c>
      <c r="B228" s="39" t="s">
        <v>2041</v>
      </c>
      <c r="C228" s="22"/>
      <c r="D228" s="30" t="s">
        <v>789</v>
      </c>
      <c r="E228" s="38"/>
      <c r="F228" s="38"/>
      <c r="G228" s="40">
        <v>8596554.549999999</v>
      </c>
      <c r="H228" s="45"/>
    </row>
    <row r="229" spans="1:8" ht="15">
      <c r="A229" s="39" t="s">
        <v>780</v>
      </c>
      <c r="B229" s="39" t="s">
        <v>731</v>
      </c>
      <c r="C229" s="36"/>
      <c r="D229" s="30" t="s">
        <v>790</v>
      </c>
      <c r="E229" s="38"/>
      <c r="F229" s="38"/>
      <c r="G229" s="40">
        <v>0</v>
      </c>
      <c r="H229" s="45"/>
    </row>
    <row r="230" spans="1:8" ht="15">
      <c r="A230" s="39" t="s">
        <v>780</v>
      </c>
      <c r="B230" s="39" t="s">
        <v>2023</v>
      </c>
      <c r="C230" s="22"/>
      <c r="D230" s="30" t="s">
        <v>791</v>
      </c>
      <c r="E230" s="38"/>
      <c r="F230" s="38"/>
      <c r="G230" s="40">
        <v>6135444.949999999</v>
      </c>
      <c r="H230" s="45"/>
    </row>
    <row r="231" spans="1:8" ht="15">
      <c r="A231" s="39" t="s">
        <v>780</v>
      </c>
      <c r="B231" s="39" t="s">
        <v>2044</v>
      </c>
      <c r="C231" s="22"/>
      <c r="D231" s="30" t="s">
        <v>792</v>
      </c>
      <c r="E231" s="38"/>
      <c r="F231" s="38"/>
      <c r="G231" s="40">
        <v>12153076.650000002</v>
      </c>
      <c r="H231" s="45"/>
    </row>
    <row r="232" spans="1:8" ht="15">
      <c r="A232" s="39" t="s">
        <v>780</v>
      </c>
      <c r="B232" s="39" t="s">
        <v>2018</v>
      </c>
      <c r="C232" s="22"/>
      <c r="D232" s="30" t="s">
        <v>793</v>
      </c>
      <c r="E232" s="38"/>
      <c r="F232" s="38"/>
      <c r="G232" s="40">
        <v>6946629.550000001</v>
      </c>
      <c r="H232" s="45"/>
    </row>
    <row r="233" spans="1:8" ht="15">
      <c r="A233" s="39" t="s">
        <v>780</v>
      </c>
      <c r="B233" s="39" t="s">
        <v>1696</v>
      </c>
      <c r="C233" s="22"/>
      <c r="D233" s="30" t="s">
        <v>794</v>
      </c>
      <c r="E233" s="38"/>
      <c r="F233" s="38"/>
      <c r="G233" s="40">
        <v>22111244.899999995</v>
      </c>
      <c r="H233" s="45"/>
    </row>
    <row r="234" spans="1:8" ht="15">
      <c r="A234" s="39" t="s">
        <v>780</v>
      </c>
      <c r="B234" s="39" t="s">
        <v>2032</v>
      </c>
      <c r="C234" s="22"/>
      <c r="D234" s="30" t="s">
        <v>795</v>
      </c>
      <c r="E234" s="38"/>
      <c r="F234" s="38"/>
      <c r="G234" s="40">
        <v>62706875.9</v>
      </c>
      <c r="H234" s="45"/>
    </row>
    <row r="235" spans="1:8" ht="15">
      <c r="A235" s="39" t="s">
        <v>780</v>
      </c>
      <c r="B235" s="39" t="s">
        <v>1038</v>
      </c>
      <c r="C235" s="22"/>
      <c r="D235" s="30" t="s">
        <v>796</v>
      </c>
      <c r="E235" s="38"/>
      <c r="F235" s="38"/>
      <c r="G235" s="40">
        <v>0</v>
      </c>
      <c r="H235" s="45"/>
    </row>
    <row r="236" spans="1:8" ht="15">
      <c r="A236" s="39" t="s">
        <v>780</v>
      </c>
      <c r="B236" s="39" t="s">
        <v>1040</v>
      </c>
      <c r="C236" s="22"/>
      <c r="D236" s="30" t="s">
        <v>797</v>
      </c>
      <c r="E236" s="38"/>
      <c r="F236" s="38"/>
      <c r="G236" s="40">
        <v>88842322.65</v>
      </c>
      <c r="H236" s="45"/>
    </row>
    <row r="237" spans="1:8" ht="15">
      <c r="A237" s="39" t="s">
        <v>780</v>
      </c>
      <c r="B237" s="39" t="s">
        <v>1042</v>
      </c>
      <c r="C237" s="36"/>
      <c r="D237" s="30" t="s">
        <v>1909</v>
      </c>
      <c r="E237" s="38"/>
      <c r="F237" s="38"/>
      <c r="G237" s="40">
        <v>3185875.1</v>
      </c>
      <c r="H237" s="45"/>
    </row>
    <row r="238" spans="1:8" ht="15">
      <c r="A238" s="39" t="s">
        <v>780</v>
      </c>
      <c r="B238" s="39" t="s">
        <v>1743</v>
      </c>
      <c r="C238" s="36"/>
      <c r="D238" s="30" t="s">
        <v>1910</v>
      </c>
      <c r="E238" s="38"/>
      <c r="F238" s="38"/>
      <c r="G238" s="40">
        <v>6340315.500000001</v>
      </c>
      <c r="H238" s="45"/>
    </row>
    <row r="239" spans="1:8" ht="15">
      <c r="A239" s="39" t="s">
        <v>780</v>
      </c>
      <c r="B239" s="39" t="s">
        <v>1045</v>
      </c>
      <c r="C239" s="22"/>
      <c r="D239" s="30" t="s">
        <v>197</v>
      </c>
      <c r="E239" s="38"/>
      <c r="F239" s="38"/>
      <c r="G239" s="40">
        <v>27245616.850000005</v>
      </c>
      <c r="H239" s="45"/>
    </row>
    <row r="240" spans="1:8" ht="15">
      <c r="A240" s="39" t="s">
        <v>780</v>
      </c>
      <c r="B240" s="39" t="s">
        <v>2034</v>
      </c>
      <c r="C240" s="22"/>
      <c r="D240" s="30" t="s">
        <v>198</v>
      </c>
      <c r="E240" s="38"/>
      <c r="F240" s="38"/>
      <c r="G240" s="40">
        <v>532203.85</v>
      </c>
      <c r="H240" s="45"/>
    </row>
    <row r="241" spans="1:8" ht="15">
      <c r="A241" s="39" t="s">
        <v>780</v>
      </c>
      <c r="B241" s="39" t="s">
        <v>1048</v>
      </c>
      <c r="C241" s="22"/>
      <c r="D241" s="30" t="s">
        <v>199</v>
      </c>
      <c r="E241" s="38"/>
      <c r="F241" s="38"/>
      <c r="G241" s="40">
        <v>0</v>
      </c>
      <c r="H241" s="45"/>
    </row>
    <row r="242" spans="1:8" ht="15">
      <c r="A242" s="39" t="s">
        <v>780</v>
      </c>
      <c r="B242" s="39" t="s">
        <v>1050</v>
      </c>
      <c r="C242" s="36"/>
      <c r="D242" s="30" t="s">
        <v>200</v>
      </c>
      <c r="E242" s="38"/>
      <c r="F242" s="38"/>
      <c r="G242" s="40">
        <v>0</v>
      </c>
      <c r="H242" s="45"/>
    </row>
    <row r="243" spans="1:8" ht="15">
      <c r="A243" s="39" t="s">
        <v>780</v>
      </c>
      <c r="B243" s="39" t="s">
        <v>1052</v>
      </c>
      <c r="C243" s="36"/>
      <c r="D243" s="30" t="s">
        <v>201</v>
      </c>
      <c r="E243" s="38"/>
      <c r="F243" s="38"/>
      <c r="G243" s="40">
        <v>19148603.6</v>
      </c>
      <c r="H243" s="45"/>
    </row>
    <row r="244" spans="1:8" ht="15">
      <c r="A244" s="39" t="s">
        <v>780</v>
      </c>
      <c r="B244" s="39" t="s">
        <v>1057</v>
      </c>
      <c r="C244" s="22"/>
      <c r="D244" s="30" t="s">
        <v>202</v>
      </c>
      <c r="E244" s="38"/>
      <c r="F244" s="38"/>
      <c r="G244" s="40">
        <v>0</v>
      </c>
      <c r="H244" s="45"/>
    </row>
    <row r="245" spans="1:8" ht="15">
      <c r="A245" s="39" t="s">
        <v>780</v>
      </c>
      <c r="B245" s="39" t="s">
        <v>1059</v>
      </c>
      <c r="C245" s="36"/>
      <c r="D245" s="30" t="s">
        <v>203</v>
      </c>
      <c r="E245" s="38"/>
      <c r="F245" s="38"/>
      <c r="G245" s="40">
        <v>15903049.200000003</v>
      </c>
      <c r="H245" s="45"/>
    </row>
    <row r="246" spans="1:8" ht="15">
      <c r="A246" s="39" t="s">
        <v>780</v>
      </c>
      <c r="B246" s="39" t="s">
        <v>2036</v>
      </c>
      <c r="C246" s="36"/>
      <c r="D246" s="30" t="s">
        <v>204</v>
      </c>
      <c r="E246" s="38"/>
      <c r="F246" s="38"/>
      <c r="G246" s="40">
        <v>2231820.1</v>
      </c>
      <c r="H246" s="45"/>
    </row>
    <row r="247" spans="1:8" ht="15">
      <c r="A247" s="39" t="s">
        <v>780</v>
      </c>
      <c r="B247" s="39" t="s">
        <v>1062</v>
      </c>
      <c r="C247" s="22"/>
      <c r="D247" s="30" t="s">
        <v>205</v>
      </c>
      <c r="E247" s="38"/>
      <c r="F247" s="38"/>
      <c r="G247" s="40">
        <v>0</v>
      </c>
      <c r="H247" s="45"/>
    </row>
    <row r="248" spans="1:8" ht="15">
      <c r="A248" s="39" t="s">
        <v>780</v>
      </c>
      <c r="B248" s="39" t="s">
        <v>1064</v>
      </c>
      <c r="C248" s="22"/>
      <c r="D248" s="30" t="s">
        <v>206</v>
      </c>
      <c r="E248" s="38"/>
      <c r="F248" s="38"/>
      <c r="G248" s="40">
        <v>60082.8</v>
      </c>
      <c r="H248" s="45"/>
    </row>
    <row r="249" spans="1:8" ht="15">
      <c r="A249" s="39" t="s">
        <v>780</v>
      </c>
      <c r="B249" s="39" t="s">
        <v>1066</v>
      </c>
      <c r="C249" s="22"/>
      <c r="D249" s="30" t="s">
        <v>207</v>
      </c>
      <c r="E249" s="38"/>
      <c r="F249" s="38"/>
      <c r="G249" s="40">
        <v>99159.95</v>
      </c>
      <c r="H249" s="45"/>
    </row>
    <row r="250" spans="1:8" ht="15">
      <c r="A250" s="39" t="s">
        <v>780</v>
      </c>
      <c r="B250" s="39" t="s">
        <v>778</v>
      </c>
      <c r="C250" s="36"/>
      <c r="D250" s="30" t="s">
        <v>208</v>
      </c>
      <c r="E250" s="38"/>
      <c r="F250" s="38"/>
      <c r="G250" s="40">
        <v>1895696.9</v>
      </c>
      <c r="H250" s="45"/>
    </row>
    <row r="251" spans="1:8" ht="15">
      <c r="A251" s="39" t="s">
        <v>209</v>
      </c>
      <c r="B251" s="39" t="s">
        <v>1159</v>
      </c>
      <c r="C251" s="36"/>
      <c r="D251" s="30" t="s">
        <v>210</v>
      </c>
      <c r="E251" s="38"/>
      <c r="F251" s="38"/>
      <c r="G251" s="40">
        <v>12202902.199999997</v>
      </c>
      <c r="H251" s="45"/>
    </row>
    <row r="252" spans="1:8" ht="15">
      <c r="A252" s="39" t="s">
        <v>209</v>
      </c>
      <c r="B252" s="39" t="s">
        <v>1161</v>
      </c>
      <c r="C252" s="22"/>
      <c r="D252" s="30" t="s">
        <v>211</v>
      </c>
      <c r="E252" s="38"/>
      <c r="F252" s="38"/>
      <c r="G252" s="40">
        <v>2019102.6</v>
      </c>
      <c r="H252" s="45"/>
    </row>
    <row r="253" spans="1:8" ht="15">
      <c r="A253" s="39" t="s">
        <v>209</v>
      </c>
      <c r="B253" s="39" t="s">
        <v>1163</v>
      </c>
      <c r="C253" s="22"/>
      <c r="D253" s="30" t="s">
        <v>212</v>
      </c>
      <c r="E253" s="38"/>
      <c r="F253" s="38"/>
      <c r="G253" s="40">
        <v>7183137.45</v>
      </c>
      <c r="H253" s="45"/>
    </row>
    <row r="254" spans="1:8" ht="15">
      <c r="A254" s="39" t="s">
        <v>209</v>
      </c>
      <c r="B254" s="39" t="s">
        <v>1165</v>
      </c>
      <c r="C254" s="22"/>
      <c r="D254" s="30" t="s">
        <v>213</v>
      </c>
      <c r="E254" s="38"/>
      <c r="F254" s="38"/>
      <c r="G254" s="40">
        <v>9231873.200000003</v>
      </c>
      <c r="H254" s="45"/>
    </row>
    <row r="255" spans="1:8" ht="15">
      <c r="A255" s="39" t="s">
        <v>209</v>
      </c>
      <c r="B255" s="39" t="s">
        <v>1167</v>
      </c>
      <c r="C255" s="36"/>
      <c r="D255" s="30" t="s">
        <v>214</v>
      </c>
      <c r="E255" s="38"/>
      <c r="F255" s="38"/>
      <c r="G255" s="40">
        <v>0</v>
      </c>
      <c r="H255" s="45"/>
    </row>
    <row r="256" spans="1:8" ht="15">
      <c r="A256" s="39" t="s">
        <v>209</v>
      </c>
      <c r="B256" s="39" t="s">
        <v>1169</v>
      </c>
      <c r="C256" s="22"/>
      <c r="D256" s="30" t="s">
        <v>215</v>
      </c>
      <c r="E256" s="38"/>
      <c r="F256" s="38"/>
      <c r="G256" s="40">
        <v>5645906.6</v>
      </c>
      <c r="H256" s="45"/>
    </row>
    <row r="257" spans="1:8" ht="15">
      <c r="A257" s="39" t="s">
        <v>209</v>
      </c>
      <c r="B257" s="39" t="s">
        <v>1</v>
      </c>
      <c r="C257" s="22"/>
      <c r="D257" s="30" t="s">
        <v>216</v>
      </c>
      <c r="E257" s="38"/>
      <c r="F257" s="38"/>
      <c r="G257" s="40">
        <v>5708254.950000001</v>
      </c>
      <c r="H257" s="45"/>
    </row>
    <row r="258" spans="1:8" ht="15">
      <c r="A258" s="39" t="s">
        <v>209</v>
      </c>
      <c r="B258" s="39" t="s">
        <v>728</v>
      </c>
      <c r="C258" s="22"/>
      <c r="D258" s="30" t="s">
        <v>217</v>
      </c>
      <c r="E258" s="38"/>
      <c r="F258" s="38"/>
      <c r="G258" s="40">
        <v>1592173.2</v>
      </c>
      <c r="H258" s="45"/>
    </row>
    <row r="259" spans="1:8" ht="15">
      <c r="A259" s="39" t="s">
        <v>209</v>
      </c>
      <c r="B259" s="39" t="s">
        <v>2041</v>
      </c>
      <c r="C259" s="22"/>
      <c r="D259" s="30" t="s">
        <v>218</v>
      </c>
      <c r="E259" s="38"/>
      <c r="F259" s="38"/>
      <c r="G259" s="40">
        <v>19324312.950000003</v>
      </c>
      <c r="H259" s="45"/>
    </row>
    <row r="260" spans="1:8" ht="15">
      <c r="A260" s="39" t="s">
        <v>209</v>
      </c>
      <c r="B260" s="39" t="s">
        <v>731</v>
      </c>
      <c r="C260" s="36"/>
      <c r="D260" s="30" t="s">
        <v>219</v>
      </c>
      <c r="E260" s="38"/>
      <c r="F260" s="38"/>
      <c r="G260" s="40">
        <v>1252427.4</v>
      </c>
      <c r="H260" s="45"/>
    </row>
    <row r="261" spans="1:8" ht="15">
      <c r="A261" s="39" t="s">
        <v>209</v>
      </c>
      <c r="B261" s="39" t="s">
        <v>2023</v>
      </c>
      <c r="C261" s="22"/>
      <c r="D261" s="30" t="s">
        <v>220</v>
      </c>
      <c r="E261" s="38"/>
      <c r="F261" s="38"/>
      <c r="G261" s="40">
        <v>16194161.900000002</v>
      </c>
      <c r="H261" s="45"/>
    </row>
    <row r="262" spans="1:8" ht="15">
      <c r="A262" s="39" t="s">
        <v>209</v>
      </c>
      <c r="B262" s="39" t="s">
        <v>2044</v>
      </c>
      <c r="C262" s="22"/>
      <c r="D262" s="30" t="s">
        <v>221</v>
      </c>
      <c r="E262" s="38"/>
      <c r="F262" s="38"/>
      <c r="G262" s="40">
        <v>18434053.600000005</v>
      </c>
      <c r="H262" s="45"/>
    </row>
    <row r="263" spans="1:8" ht="15">
      <c r="A263" s="39" t="s">
        <v>209</v>
      </c>
      <c r="B263" s="39" t="s">
        <v>2018</v>
      </c>
      <c r="C263" s="22"/>
      <c r="D263" s="30" t="s">
        <v>222</v>
      </c>
      <c r="E263" s="38"/>
      <c r="F263" s="38"/>
      <c r="G263" s="40">
        <v>23256394.200000007</v>
      </c>
      <c r="H263" s="45"/>
    </row>
    <row r="264" spans="1:8" ht="15">
      <c r="A264" s="39" t="s">
        <v>209</v>
      </c>
      <c r="B264" s="39" t="s">
        <v>1696</v>
      </c>
      <c r="C264" s="22"/>
      <c r="D264" s="30" t="s">
        <v>223</v>
      </c>
      <c r="E264" s="38"/>
      <c r="F264" s="38"/>
      <c r="G264" s="40">
        <v>22795069.8</v>
      </c>
      <c r="H264" s="45"/>
    </row>
    <row r="265" spans="1:8" ht="15">
      <c r="A265" s="39" t="s">
        <v>209</v>
      </c>
      <c r="B265" s="39" t="s">
        <v>2032</v>
      </c>
      <c r="C265" s="22"/>
      <c r="D265" s="30" t="s">
        <v>224</v>
      </c>
      <c r="E265" s="38"/>
      <c r="F265" s="38"/>
      <c r="G265" s="40">
        <v>26899216.799999997</v>
      </c>
      <c r="H265" s="45"/>
    </row>
    <row r="266" spans="1:8" ht="15">
      <c r="A266" s="39" t="s">
        <v>209</v>
      </c>
      <c r="B266" s="39" t="s">
        <v>1038</v>
      </c>
      <c r="C266" s="22"/>
      <c r="D266" s="30" t="s">
        <v>444</v>
      </c>
      <c r="E266" s="38"/>
      <c r="F266" s="38"/>
      <c r="G266" s="40">
        <v>0</v>
      </c>
      <c r="H266" s="45"/>
    </row>
    <row r="267" spans="1:8" ht="15">
      <c r="A267" s="39" t="s">
        <v>209</v>
      </c>
      <c r="B267" s="39" t="s">
        <v>1040</v>
      </c>
      <c r="C267" s="22"/>
      <c r="D267" s="30" t="s">
        <v>445</v>
      </c>
      <c r="E267" s="38"/>
      <c r="F267" s="38"/>
      <c r="G267" s="40">
        <v>50079735.75</v>
      </c>
      <c r="H267" s="45"/>
    </row>
    <row r="268" spans="1:8" ht="15">
      <c r="A268" s="39" t="s">
        <v>209</v>
      </c>
      <c r="B268" s="39" t="s">
        <v>1042</v>
      </c>
      <c r="C268" s="36"/>
      <c r="D268" s="30" t="s">
        <v>446</v>
      </c>
      <c r="E268" s="38"/>
      <c r="F268" s="38"/>
      <c r="G268" s="40">
        <v>6124201.800000002</v>
      </c>
      <c r="H268" s="45"/>
    </row>
    <row r="269" spans="1:8" ht="15">
      <c r="A269" s="39" t="s">
        <v>209</v>
      </c>
      <c r="B269" s="39" t="s">
        <v>1743</v>
      </c>
      <c r="C269" s="36"/>
      <c r="D269" s="30" t="s">
        <v>447</v>
      </c>
      <c r="E269" s="38"/>
      <c r="F269" s="38"/>
      <c r="G269" s="40">
        <v>7110562.6</v>
      </c>
      <c r="H269" s="45"/>
    </row>
    <row r="270" spans="1:8" ht="15">
      <c r="A270" s="39" t="s">
        <v>209</v>
      </c>
      <c r="B270" s="39" t="s">
        <v>1045</v>
      </c>
      <c r="C270" s="22"/>
      <c r="D270" s="30" t="s">
        <v>448</v>
      </c>
      <c r="E270" s="38"/>
      <c r="F270" s="38"/>
      <c r="G270" s="40">
        <v>31606359.30000001</v>
      </c>
      <c r="H270" s="45"/>
    </row>
    <row r="271" spans="1:8" ht="15">
      <c r="A271" s="39" t="s">
        <v>209</v>
      </c>
      <c r="B271" s="39" t="s">
        <v>2034</v>
      </c>
      <c r="C271" s="22"/>
      <c r="D271" s="30" t="s">
        <v>449</v>
      </c>
      <c r="E271" s="38"/>
      <c r="F271" s="38"/>
      <c r="G271" s="40">
        <v>8089967.300000002</v>
      </c>
      <c r="H271" s="45"/>
    </row>
    <row r="272" spans="1:8" ht="15">
      <c r="A272" s="39" t="s">
        <v>209</v>
      </c>
      <c r="B272" s="39" t="s">
        <v>1048</v>
      </c>
      <c r="C272" s="22"/>
      <c r="D272" s="30" t="s">
        <v>450</v>
      </c>
      <c r="E272" s="38"/>
      <c r="F272" s="38"/>
      <c r="G272" s="40">
        <v>1071153</v>
      </c>
      <c r="H272" s="45"/>
    </row>
    <row r="273" spans="1:8" ht="15">
      <c r="A273" s="39" t="s">
        <v>209</v>
      </c>
      <c r="B273" s="39" t="s">
        <v>1050</v>
      </c>
      <c r="C273" s="36"/>
      <c r="D273" s="30" t="s">
        <v>451</v>
      </c>
      <c r="E273" s="38"/>
      <c r="F273" s="38"/>
      <c r="G273" s="40">
        <v>1514486.2</v>
      </c>
      <c r="H273" s="45"/>
    </row>
    <row r="274" spans="1:8" ht="15">
      <c r="A274" s="39" t="s">
        <v>209</v>
      </c>
      <c r="B274" s="39" t="s">
        <v>1052</v>
      </c>
      <c r="C274" s="36"/>
      <c r="D274" s="30" t="s">
        <v>452</v>
      </c>
      <c r="E274" s="38"/>
      <c r="F274" s="38"/>
      <c r="G274" s="40">
        <v>8857815.049999997</v>
      </c>
      <c r="H274" s="45"/>
    </row>
    <row r="275" spans="1:8" ht="15">
      <c r="A275" s="39" t="s">
        <v>209</v>
      </c>
      <c r="B275" s="39" t="s">
        <v>1057</v>
      </c>
      <c r="C275" s="22"/>
      <c r="D275" s="30" t="s">
        <v>1345</v>
      </c>
      <c r="E275" s="38"/>
      <c r="F275" s="38"/>
      <c r="G275" s="40">
        <v>2387917.2</v>
      </c>
      <c r="H275" s="45"/>
    </row>
    <row r="276" spans="1:8" ht="15">
      <c r="A276" s="39" t="s">
        <v>209</v>
      </c>
      <c r="B276" s="39" t="s">
        <v>1059</v>
      </c>
      <c r="C276" s="36"/>
      <c r="D276" s="30" t="s">
        <v>1346</v>
      </c>
      <c r="E276" s="38"/>
      <c r="F276" s="38"/>
      <c r="G276" s="40">
        <v>4679708.85</v>
      </c>
      <c r="H276" s="45"/>
    </row>
    <row r="277" spans="1:8" ht="15">
      <c r="A277" s="39" t="s">
        <v>209</v>
      </c>
      <c r="B277" s="39" t="s">
        <v>2036</v>
      </c>
      <c r="C277" s="36"/>
      <c r="D277" s="30" t="s">
        <v>1347</v>
      </c>
      <c r="E277" s="38"/>
      <c r="F277" s="38"/>
      <c r="G277" s="40">
        <v>5893591.199999999</v>
      </c>
      <c r="H277" s="45"/>
    </row>
    <row r="278" spans="1:8" ht="15">
      <c r="A278" s="39" t="s">
        <v>209</v>
      </c>
      <c r="B278" s="39" t="s">
        <v>1062</v>
      </c>
      <c r="C278" s="22"/>
      <c r="D278" s="30" t="s">
        <v>1348</v>
      </c>
      <c r="E278" s="38"/>
      <c r="F278" s="38"/>
      <c r="G278" s="40">
        <v>1023109.2</v>
      </c>
      <c r="H278" s="45"/>
    </row>
    <row r="279" spans="1:8" ht="15">
      <c r="A279" s="39" t="s">
        <v>209</v>
      </c>
      <c r="B279" s="39" t="s">
        <v>1064</v>
      </c>
      <c r="C279" s="22"/>
      <c r="D279" s="30" t="s">
        <v>1349</v>
      </c>
      <c r="E279" s="38"/>
      <c r="F279" s="38"/>
      <c r="G279" s="40">
        <v>5677960.9</v>
      </c>
      <c r="H279" s="45"/>
    </row>
    <row r="280" spans="1:8" ht="15">
      <c r="A280" s="39" t="s">
        <v>209</v>
      </c>
      <c r="B280" s="39" t="s">
        <v>1066</v>
      </c>
      <c r="C280" s="22"/>
      <c r="D280" s="30" t="s">
        <v>1350</v>
      </c>
      <c r="E280" s="38"/>
      <c r="F280" s="38"/>
      <c r="G280" s="40">
        <v>4491374.4</v>
      </c>
      <c r="H280" s="45"/>
    </row>
    <row r="281" spans="1:8" ht="15">
      <c r="A281" s="39" t="s">
        <v>209</v>
      </c>
      <c r="B281" s="39" t="s">
        <v>778</v>
      </c>
      <c r="C281" s="36"/>
      <c r="D281" s="30" t="s">
        <v>1351</v>
      </c>
      <c r="E281" s="38"/>
      <c r="F281" s="38"/>
      <c r="G281" s="40">
        <v>4775905.05</v>
      </c>
      <c r="H281" s="45"/>
    </row>
    <row r="282" spans="1:8" ht="15">
      <c r="A282" s="39" t="s">
        <v>1352</v>
      </c>
      <c r="B282" s="39" t="s">
        <v>1064</v>
      </c>
      <c r="C282" s="22"/>
      <c r="D282" s="30" t="s">
        <v>1353</v>
      </c>
      <c r="E282" s="38"/>
      <c r="F282" s="38"/>
      <c r="G282" s="40">
        <v>432081719</v>
      </c>
      <c r="H282" s="45"/>
    </row>
    <row r="283" spans="1:8" ht="15">
      <c r="A283" s="39" t="s">
        <v>1354</v>
      </c>
      <c r="B283" s="39" t="s">
        <v>1159</v>
      </c>
      <c r="C283" s="36"/>
      <c r="D283" s="30" t="s">
        <v>1355</v>
      </c>
      <c r="E283" s="38"/>
      <c r="F283" s="38"/>
      <c r="G283" s="40">
        <v>3885163.2</v>
      </c>
      <c r="H283" s="45"/>
    </row>
    <row r="284" spans="1:8" ht="15">
      <c r="A284" s="39" t="s">
        <v>1354</v>
      </c>
      <c r="B284" s="39" t="s">
        <v>1161</v>
      </c>
      <c r="C284" s="22"/>
      <c r="D284" s="30" t="s">
        <v>1356</v>
      </c>
      <c r="E284" s="38"/>
      <c r="F284" s="38"/>
      <c r="G284" s="40">
        <v>3866769.6</v>
      </c>
      <c r="H284" s="45"/>
    </row>
    <row r="285" spans="1:8" ht="15">
      <c r="A285" s="39" t="s">
        <v>1354</v>
      </c>
      <c r="B285" s="39" t="s">
        <v>1163</v>
      </c>
      <c r="C285" s="22"/>
      <c r="D285" s="30" t="s">
        <v>1357</v>
      </c>
      <c r="E285" s="38"/>
      <c r="F285" s="38"/>
      <c r="G285" s="40">
        <v>2779627.2</v>
      </c>
      <c r="H285" s="45"/>
    </row>
    <row r="286" spans="1:8" ht="15">
      <c r="A286" s="39" t="s">
        <v>1354</v>
      </c>
      <c r="B286" s="39" t="s">
        <v>1165</v>
      </c>
      <c r="C286" s="22"/>
      <c r="D286" s="30" t="s">
        <v>1358</v>
      </c>
      <c r="E286" s="38"/>
      <c r="F286" s="38"/>
      <c r="G286" s="40">
        <v>2316356</v>
      </c>
      <c r="H286" s="45"/>
    </row>
    <row r="287" spans="1:8" ht="15">
      <c r="A287" s="39" t="s">
        <v>1354</v>
      </c>
      <c r="B287" s="39" t="s">
        <v>1167</v>
      </c>
      <c r="C287" s="36"/>
      <c r="D287" s="30" t="s">
        <v>1359</v>
      </c>
      <c r="E287" s="38"/>
      <c r="F287" s="38"/>
      <c r="G287" s="40">
        <v>0</v>
      </c>
      <c r="H287" s="45"/>
    </row>
    <row r="288" spans="1:8" ht="15">
      <c r="A288" s="39" t="s">
        <v>1354</v>
      </c>
      <c r="B288" s="39" t="s">
        <v>1169</v>
      </c>
      <c r="C288" s="22"/>
      <c r="D288" s="30" t="s">
        <v>1360</v>
      </c>
      <c r="E288" s="38"/>
      <c r="F288" s="38"/>
      <c r="G288" s="40">
        <v>2932627.2</v>
      </c>
      <c r="H288" s="45"/>
    </row>
    <row r="289" spans="1:8" ht="15">
      <c r="A289" s="39" t="s">
        <v>1354</v>
      </c>
      <c r="B289" s="39" t="s">
        <v>1</v>
      </c>
      <c r="C289" s="22"/>
      <c r="D289" s="30" t="s">
        <v>1361</v>
      </c>
      <c r="E289" s="38"/>
      <c r="F289" s="38"/>
      <c r="G289" s="40">
        <v>2932627.2</v>
      </c>
      <c r="H289" s="45"/>
    </row>
    <row r="290" spans="1:8" ht="15">
      <c r="A290" s="39" t="s">
        <v>1354</v>
      </c>
      <c r="B290" s="39" t="s">
        <v>728</v>
      </c>
      <c r="C290" s="22"/>
      <c r="D290" s="30" t="s">
        <v>1362</v>
      </c>
      <c r="E290" s="38"/>
      <c r="F290" s="38"/>
      <c r="G290" s="40">
        <v>2728291.2</v>
      </c>
      <c r="H290" s="45"/>
    </row>
    <row r="291" spans="1:8" ht="15">
      <c r="A291" s="39" t="s">
        <v>1354</v>
      </c>
      <c r="B291" s="39" t="s">
        <v>2041</v>
      </c>
      <c r="C291" s="22"/>
      <c r="D291" s="30" t="s">
        <v>1363</v>
      </c>
      <c r="E291" s="38"/>
      <c r="F291" s="38"/>
      <c r="G291" s="40">
        <v>26160933.599999998</v>
      </c>
      <c r="H291" s="45"/>
    </row>
    <row r="292" spans="1:8" ht="15">
      <c r="A292" s="39" t="s">
        <v>1354</v>
      </c>
      <c r="B292" s="39" t="s">
        <v>731</v>
      </c>
      <c r="C292" s="36"/>
      <c r="D292" s="30" t="s">
        <v>1364</v>
      </c>
      <c r="E292" s="38"/>
      <c r="F292" s="38"/>
      <c r="G292" s="40">
        <v>3339806.4</v>
      </c>
      <c r="H292" s="45"/>
    </row>
    <row r="293" spans="1:8" ht="15">
      <c r="A293" s="39" t="s">
        <v>1354</v>
      </c>
      <c r="B293" s="39" t="s">
        <v>2023</v>
      </c>
      <c r="C293" s="22"/>
      <c r="D293" s="30" t="s">
        <v>1365</v>
      </c>
      <c r="E293" s="38"/>
      <c r="F293" s="38"/>
      <c r="G293" s="40">
        <v>20144924.000000004</v>
      </c>
      <c r="H293" s="45"/>
    </row>
    <row r="294" spans="1:8" ht="15">
      <c r="A294" s="39" t="s">
        <v>1354</v>
      </c>
      <c r="B294" s="39" t="s">
        <v>2044</v>
      </c>
      <c r="C294" s="22"/>
      <c r="D294" s="30" t="s">
        <v>1366</v>
      </c>
      <c r="E294" s="38"/>
      <c r="F294" s="38"/>
      <c r="G294" s="40">
        <v>20880348.8</v>
      </c>
      <c r="H294" s="45"/>
    </row>
    <row r="295" spans="1:8" ht="15">
      <c r="A295" s="39" t="s">
        <v>1354</v>
      </c>
      <c r="B295" s="39" t="s">
        <v>2018</v>
      </c>
      <c r="C295" s="22"/>
      <c r="D295" s="30" t="s">
        <v>1367</v>
      </c>
      <c r="E295" s="38"/>
      <c r="F295" s="38"/>
      <c r="G295" s="40">
        <v>27007150.400000006</v>
      </c>
      <c r="H295" s="45"/>
    </row>
    <row r="296" spans="1:8" ht="15">
      <c r="A296" s="39" t="s">
        <v>1354</v>
      </c>
      <c r="B296" s="39" t="s">
        <v>1696</v>
      </c>
      <c r="C296" s="22"/>
      <c r="D296" s="30" t="s">
        <v>1435</v>
      </c>
      <c r="E296" s="38"/>
      <c r="F296" s="38"/>
      <c r="G296" s="40">
        <v>28642063.200000003</v>
      </c>
      <c r="H296" s="45"/>
    </row>
    <row r="297" spans="1:8" ht="15">
      <c r="A297" s="39" t="s">
        <v>1354</v>
      </c>
      <c r="B297" s="39" t="s">
        <v>2032</v>
      </c>
      <c r="C297" s="22"/>
      <c r="D297" s="30" t="s">
        <v>1436</v>
      </c>
      <c r="E297" s="38"/>
      <c r="F297" s="38"/>
      <c r="G297" s="40">
        <v>2728291.2</v>
      </c>
      <c r="H297" s="45"/>
    </row>
    <row r="298" spans="1:8" ht="15">
      <c r="A298" s="39" t="s">
        <v>1354</v>
      </c>
      <c r="B298" s="39" t="s">
        <v>1038</v>
      </c>
      <c r="C298" s="22"/>
      <c r="D298" s="30" t="s">
        <v>1437</v>
      </c>
      <c r="E298" s="38"/>
      <c r="F298" s="38"/>
      <c r="G298" s="40">
        <v>0</v>
      </c>
      <c r="H298" s="45"/>
    </row>
    <row r="299" spans="1:8" ht="15">
      <c r="A299" s="39" t="s">
        <v>1354</v>
      </c>
      <c r="B299" s="39" t="s">
        <v>1040</v>
      </c>
      <c r="C299" s="22"/>
      <c r="D299" s="30" t="s">
        <v>1438</v>
      </c>
      <c r="E299" s="38"/>
      <c r="F299" s="38"/>
      <c r="G299" s="40">
        <v>12539792.799999995</v>
      </c>
      <c r="H299" s="45"/>
    </row>
    <row r="300" spans="1:8" ht="15">
      <c r="A300" s="39" t="s">
        <v>1354</v>
      </c>
      <c r="B300" s="39" t="s">
        <v>1042</v>
      </c>
      <c r="C300" s="36"/>
      <c r="D300" s="30" t="s">
        <v>1439</v>
      </c>
      <c r="E300" s="38"/>
      <c r="F300" s="38"/>
      <c r="G300" s="40">
        <v>2798822.4</v>
      </c>
      <c r="H300" s="45"/>
    </row>
    <row r="301" spans="1:8" ht="15">
      <c r="A301" s="39" t="s">
        <v>1354</v>
      </c>
      <c r="B301" s="39" t="s">
        <v>1743</v>
      </c>
      <c r="C301" s="36"/>
      <c r="D301" s="30" t="s">
        <v>1440</v>
      </c>
      <c r="E301" s="38"/>
      <c r="F301" s="38"/>
      <c r="G301" s="40">
        <v>2779627.2</v>
      </c>
      <c r="H301" s="45"/>
    </row>
    <row r="302" spans="1:8" ht="15">
      <c r="A302" s="39" t="s">
        <v>1354</v>
      </c>
      <c r="B302" s="39" t="s">
        <v>1045</v>
      </c>
      <c r="C302" s="22"/>
      <c r="D302" s="30" t="s">
        <v>1441</v>
      </c>
      <c r="E302" s="38"/>
      <c r="F302" s="38"/>
      <c r="G302" s="40">
        <v>10994400.000000002</v>
      </c>
      <c r="H302" s="45"/>
    </row>
    <row r="303" spans="1:8" ht="15">
      <c r="A303" s="39" t="s">
        <v>1354</v>
      </c>
      <c r="B303" s="39" t="s">
        <v>2034</v>
      </c>
      <c r="C303" s="22"/>
      <c r="D303" s="30" t="s">
        <v>1442</v>
      </c>
      <c r="E303" s="38"/>
      <c r="F303" s="38"/>
      <c r="G303" s="40">
        <v>3102436.8</v>
      </c>
      <c r="H303" s="45"/>
    </row>
    <row r="304" spans="1:8" ht="15">
      <c r="A304" s="39" t="s">
        <v>1354</v>
      </c>
      <c r="B304" s="39" t="s">
        <v>1048</v>
      </c>
      <c r="C304" s="22"/>
      <c r="D304" s="30" t="s">
        <v>1443</v>
      </c>
      <c r="E304" s="38"/>
      <c r="F304" s="38"/>
      <c r="G304" s="40">
        <v>2856408</v>
      </c>
      <c r="H304" s="45"/>
    </row>
    <row r="305" spans="1:8" ht="15">
      <c r="A305" s="39" t="s">
        <v>1354</v>
      </c>
      <c r="B305" s="39" t="s">
        <v>1050</v>
      </c>
      <c r="C305" s="36"/>
      <c r="D305" s="30" t="s">
        <v>1444</v>
      </c>
      <c r="E305" s="38"/>
      <c r="F305" s="38"/>
      <c r="G305" s="40">
        <v>2990774.4</v>
      </c>
      <c r="H305" s="45"/>
    </row>
    <row r="306" spans="1:8" ht="15">
      <c r="A306" s="39" t="s">
        <v>1354</v>
      </c>
      <c r="B306" s="39" t="s">
        <v>1052</v>
      </c>
      <c r="C306" s="36"/>
      <c r="D306" s="30" t="s">
        <v>900</v>
      </c>
      <c r="E306" s="38"/>
      <c r="F306" s="38"/>
      <c r="G306" s="40">
        <v>13968799.999999996</v>
      </c>
      <c r="H306" s="45"/>
    </row>
    <row r="307" spans="1:8" ht="15">
      <c r="A307" s="39" t="s">
        <v>1354</v>
      </c>
      <c r="B307" s="39" t="s">
        <v>1057</v>
      </c>
      <c r="C307" s="22"/>
      <c r="D307" s="30" t="s">
        <v>901</v>
      </c>
      <c r="E307" s="38"/>
      <c r="F307" s="38"/>
      <c r="G307" s="40">
        <v>3332771.2</v>
      </c>
      <c r="H307" s="45"/>
    </row>
    <row r="308" spans="1:8" ht="15">
      <c r="A308" s="39" t="s">
        <v>1354</v>
      </c>
      <c r="B308" s="39" t="s">
        <v>1059</v>
      </c>
      <c r="C308" s="36"/>
      <c r="D308" s="30" t="s">
        <v>902</v>
      </c>
      <c r="E308" s="38"/>
      <c r="F308" s="38"/>
      <c r="G308" s="40">
        <v>0</v>
      </c>
      <c r="H308" s="45"/>
    </row>
    <row r="309" spans="1:8" ht="15">
      <c r="A309" s="39" t="s">
        <v>1354</v>
      </c>
      <c r="B309" s="39" t="s">
        <v>2036</v>
      </c>
      <c r="C309" s="36"/>
      <c r="D309" s="30" t="s">
        <v>903</v>
      </c>
      <c r="E309" s="38"/>
      <c r="F309" s="38"/>
      <c r="G309" s="40">
        <v>2728291.2</v>
      </c>
      <c r="H309" s="45"/>
    </row>
    <row r="310" spans="1:8" ht="15">
      <c r="A310" s="39" t="s">
        <v>1354</v>
      </c>
      <c r="B310" s="39" t="s">
        <v>1062</v>
      </c>
      <c r="C310" s="22"/>
      <c r="D310" s="30" t="s">
        <v>904</v>
      </c>
      <c r="E310" s="38"/>
      <c r="F310" s="38"/>
      <c r="G310" s="40">
        <v>2728291.2</v>
      </c>
      <c r="H310" s="45"/>
    </row>
    <row r="311" spans="1:8" ht="15">
      <c r="A311" s="39" t="s">
        <v>1354</v>
      </c>
      <c r="B311" s="39" t="s">
        <v>1064</v>
      </c>
      <c r="C311" s="22"/>
      <c r="D311" s="30" t="s">
        <v>905</v>
      </c>
      <c r="E311" s="38"/>
      <c r="F311" s="38"/>
      <c r="G311" s="40">
        <v>0</v>
      </c>
      <c r="H311" s="45"/>
    </row>
    <row r="312" spans="1:8" ht="15">
      <c r="A312" s="39" t="s">
        <v>1354</v>
      </c>
      <c r="B312" s="39" t="s">
        <v>1066</v>
      </c>
      <c r="C312" s="22"/>
      <c r="D312" s="30" t="s">
        <v>906</v>
      </c>
      <c r="E312" s="38"/>
      <c r="F312" s="38"/>
      <c r="G312" s="40">
        <v>2932627.2</v>
      </c>
      <c r="H312" s="45"/>
    </row>
    <row r="313" spans="1:8" ht="15">
      <c r="A313" s="39" t="s">
        <v>1354</v>
      </c>
      <c r="B313" s="39" t="s">
        <v>778</v>
      </c>
      <c r="C313" s="36"/>
      <c r="D313" s="30" t="s">
        <v>907</v>
      </c>
      <c r="E313" s="38"/>
      <c r="F313" s="38"/>
      <c r="G313" s="40">
        <v>2779627.2</v>
      </c>
      <c r="H313" s="45"/>
    </row>
    <row r="314" spans="1:8" ht="15">
      <c r="A314" s="39" t="s">
        <v>908</v>
      </c>
      <c r="B314" s="39" t="s">
        <v>1064</v>
      </c>
      <c r="C314" s="22"/>
      <c r="D314" s="30" t="s">
        <v>909</v>
      </c>
      <c r="E314" s="38"/>
      <c r="F314" s="38"/>
      <c r="G314" s="45">
        <v>320229905</v>
      </c>
      <c r="H314" s="45"/>
    </row>
    <row r="315" spans="1:8" ht="15">
      <c r="A315" s="39" t="s">
        <v>910</v>
      </c>
      <c r="B315" s="39" t="s">
        <v>1159</v>
      </c>
      <c r="C315" s="36"/>
      <c r="D315" s="30" t="s">
        <v>911</v>
      </c>
      <c r="E315" s="38"/>
      <c r="F315" s="38"/>
      <c r="G315" s="40">
        <v>42391398.15</v>
      </c>
      <c r="H315" s="45"/>
    </row>
    <row r="316" spans="1:8" ht="15">
      <c r="A316" s="39" t="s">
        <v>910</v>
      </c>
      <c r="B316" s="39" t="s">
        <v>1161</v>
      </c>
      <c r="C316" s="22"/>
      <c r="D316" s="30" t="s">
        <v>912</v>
      </c>
      <c r="E316" s="38"/>
      <c r="F316" s="38"/>
      <c r="G316" s="40">
        <v>1700594</v>
      </c>
      <c r="H316" s="45"/>
    </row>
    <row r="317" spans="1:8" ht="15">
      <c r="A317" s="39" t="s">
        <v>910</v>
      </c>
      <c r="B317" s="39" t="s">
        <v>1163</v>
      </c>
      <c r="C317" s="22"/>
      <c r="D317" s="30" t="s">
        <v>913</v>
      </c>
      <c r="E317" s="38"/>
      <c r="F317" s="38"/>
      <c r="G317" s="40">
        <v>3789703</v>
      </c>
      <c r="H317" s="45"/>
    </row>
    <row r="318" spans="1:8" ht="15">
      <c r="A318" s="39" t="s">
        <v>910</v>
      </c>
      <c r="B318" s="39" t="s">
        <v>1165</v>
      </c>
      <c r="C318" s="22"/>
      <c r="D318" s="30" t="s">
        <v>914</v>
      </c>
      <c r="E318" s="38"/>
      <c r="F318" s="38"/>
      <c r="G318" s="40">
        <v>4121107</v>
      </c>
      <c r="H318" s="45"/>
    </row>
    <row r="319" spans="1:8" ht="15">
      <c r="A319" s="39" t="s">
        <v>910</v>
      </c>
      <c r="B319" s="39" t="s">
        <v>1167</v>
      </c>
      <c r="C319" s="36"/>
      <c r="D319" s="30" t="s">
        <v>915</v>
      </c>
      <c r="E319" s="38"/>
      <c r="F319" s="38"/>
      <c r="G319" s="40">
        <v>0</v>
      </c>
      <c r="H319" s="45"/>
    </row>
    <row r="320" spans="1:8" ht="15">
      <c r="A320" s="39" t="s">
        <v>910</v>
      </c>
      <c r="B320" s="39" t="s">
        <v>1169</v>
      </c>
      <c r="C320" s="22"/>
      <c r="D320" s="30" t="s">
        <v>916</v>
      </c>
      <c r="E320" s="38"/>
      <c r="F320" s="38"/>
      <c r="G320" s="40">
        <v>2238458</v>
      </c>
      <c r="H320" s="45"/>
    </row>
    <row r="321" spans="1:8" ht="15">
      <c r="A321" s="39" t="s">
        <v>910</v>
      </c>
      <c r="B321" s="39" t="s">
        <v>1</v>
      </c>
      <c r="C321" s="22"/>
      <c r="D321" s="30" t="s">
        <v>917</v>
      </c>
      <c r="E321" s="38"/>
      <c r="F321" s="38"/>
      <c r="G321" s="40">
        <v>2305433</v>
      </c>
      <c r="H321" s="45"/>
    </row>
    <row r="322" spans="1:8" ht="15">
      <c r="A322" s="39" t="s">
        <v>910</v>
      </c>
      <c r="B322" s="39" t="s">
        <v>728</v>
      </c>
      <c r="C322" s="22"/>
      <c r="D322" s="30" t="s">
        <v>1677</v>
      </c>
      <c r="E322" s="38"/>
      <c r="F322" s="38"/>
      <c r="G322" s="40">
        <v>837144</v>
      </c>
      <c r="H322" s="45"/>
    </row>
    <row r="323" spans="1:8" ht="15">
      <c r="A323" s="39" t="s">
        <v>910</v>
      </c>
      <c r="B323" s="39" t="s">
        <v>2041</v>
      </c>
      <c r="C323" s="22"/>
      <c r="D323" s="30" t="s">
        <v>1678</v>
      </c>
      <c r="E323" s="38"/>
      <c r="F323" s="38"/>
      <c r="G323" s="40">
        <v>11765227.45</v>
      </c>
      <c r="H323" s="45"/>
    </row>
    <row r="324" spans="1:8" ht="15">
      <c r="A324" s="39" t="s">
        <v>910</v>
      </c>
      <c r="B324" s="39" t="s">
        <v>731</v>
      </c>
      <c r="C324" s="36"/>
      <c r="D324" s="30" t="s">
        <v>1679</v>
      </c>
      <c r="E324" s="38"/>
      <c r="F324" s="38"/>
      <c r="G324" s="40">
        <v>1467704.25</v>
      </c>
      <c r="H324" s="45"/>
    </row>
    <row r="325" spans="1:8" ht="15">
      <c r="A325" s="39" t="s">
        <v>910</v>
      </c>
      <c r="B325" s="39" t="s">
        <v>2023</v>
      </c>
      <c r="C325" s="22"/>
      <c r="D325" s="30" t="s">
        <v>1680</v>
      </c>
      <c r="E325" s="38"/>
      <c r="F325" s="38"/>
      <c r="G325" s="40">
        <v>6860425.35</v>
      </c>
      <c r="H325" s="45"/>
    </row>
    <row r="326" spans="1:8" ht="15">
      <c r="A326" s="39" t="s">
        <v>910</v>
      </c>
      <c r="B326" s="39" t="s">
        <v>2044</v>
      </c>
      <c r="C326" s="22"/>
      <c r="D326" s="30" t="s">
        <v>1681</v>
      </c>
      <c r="E326" s="38"/>
      <c r="F326" s="38"/>
      <c r="G326" s="40">
        <v>8048497</v>
      </c>
      <c r="H326" s="45"/>
    </row>
    <row r="327" spans="1:8" ht="15">
      <c r="A327" s="39" t="s">
        <v>910</v>
      </c>
      <c r="B327" s="39" t="s">
        <v>2018</v>
      </c>
      <c r="C327" s="22"/>
      <c r="D327" s="30" t="s">
        <v>453</v>
      </c>
      <c r="E327" s="38"/>
      <c r="F327" s="38"/>
      <c r="G327" s="40">
        <v>9644156</v>
      </c>
      <c r="H327" s="45"/>
    </row>
    <row r="328" spans="1:8" ht="15">
      <c r="A328" s="39" t="s">
        <v>910</v>
      </c>
      <c r="B328" s="39" t="s">
        <v>1696</v>
      </c>
      <c r="C328" s="22"/>
      <c r="D328" s="30" t="s">
        <v>454</v>
      </c>
      <c r="E328" s="38"/>
      <c r="F328" s="38"/>
      <c r="G328" s="40">
        <v>11239265</v>
      </c>
      <c r="H328" s="45"/>
    </row>
    <row r="329" spans="1:8" ht="15">
      <c r="A329" s="39" t="s">
        <v>910</v>
      </c>
      <c r="B329" s="39" t="s">
        <v>2032</v>
      </c>
      <c r="C329" s="22"/>
      <c r="D329" s="30" t="s">
        <v>1022</v>
      </c>
      <c r="E329" s="38"/>
      <c r="F329" s="38"/>
      <c r="G329" s="40">
        <v>13099166.45</v>
      </c>
      <c r="H329" s="45"/>
    </row>
    <row r="330" spans="1:8" ht="15">
      <c r="A330" s="39" t="s">
        <v>910</v>
      </c>
      <c r="B330" s="39" t="s">
        <v>1038</v>
      </c>
      <c r="C330" s="22"/>
      <c r="D330" s="30" t="s">
        <v>1023</v>
      </c>
      <c r="E330" s="38"/>
      <c r="F330" s="38"/>
      <c r="G330" s="40">
        <v>0</v>
      </c>
      <c r="H330" s="45"/>
    </row>
    <row r="331" spans="1:8" ht="15">
      <c r="A331" s="39" t="s">
        <v>910</v>
      </c>
      <c r="B331" s="39" t="s">
        <v>1040</v>
      </c>
      <c r="C331" s="22"/>
      <c r="D331" s="30" t="s">
        <v>1024</v>
      </c>
      <c r="E331" s="38"/>
      <c r="F331" s="38"/>
      <c r="G331" s="40">
        <v>21859728</v>
      </c>
      <c r="H331" s="45"/>
    </row>
    <row r="332" spans="1:8" ht="15">
      <c r="A332" s="39" t="s">
        <v>910</v>
      </c>
      <c r="B332" s="39" t="s">
        <v>1042</v>
      </c>
      <c r="C332" s="36"/>
      <c r="D332" s="30" t="s">
        <v>1025</v>
      </c>
      <c r="E332" s="38"/>
      <c r="F332" s="38"/>
      <c r="G332" s="40">
        <v>3130504.7</v>
      </c>
      <c r="H332" s="45"/>
    </row>
    <row r="333" spans="1:8" ht="15">
      <c r="A333" s="39" t="s">
        <v>910</v>
      </c>
      <c r="B333" s="39" t="s">
        <v>1743</v>
      </c>
      <c r="C333" s="36"/>
      <c r="D333" s="30" t="s">
        <v>1026</v>
      </c>
      <c r="E333" s="38"/>
      <c r="F333" s="38"/>
      <c r="G333" s="40">
        <v>3014601</v>
      </c>
      <c r="H333" s="45"/>
    </row>
    <row r="334" spans="1:8" ht="15">
      <c r="A334" s="39" t="s">
        <v>910</v>
      </c>
      <c r="B334" s="39" t="s">
        <v>1045</v>
      </c>
      <c r="C334" s="22"/>
      <c r="D334" s="30" t="s">
        <v>978</v>
      </c>
      <c r="E334" s="38"/>
      <c r="F334" s="38"/>
      <c r="G334" s="40">
        <v>13953600</v>
      </c>
      <c r="H334" s="45"/>
    </row>
    <row r="335" spans="1:8" ht="15">
      <c r="A335" s="39" t="s">
        <v>910</v>
      </c>
      <c r="B335" s="39" t="s">
        <v>2034</v>
      </c>
      <c r="C335" s="22"/>
      <c r="D335" s="30" t="s">
        <v>979</v>
      </c>
      <c r="E335" s="38"/>
      <c r="F335" s="38"/>
      <c r="G335" s="40">
        <v>1617794.85</v>
      </c>
      <c r="H335" s="45"/>
    </row>
    <row r="336" spans="1:8" ht="15">
      <c r="A336" s="39" t="s">
        <v>910</v>
      </c>
      <c r="B336" s="39" t="s">
        <v>1048</v>
      </c>
      <c r="C336" s="22"/>
      <c r="D336" s="30" t="s">
        <v>980</v>
      </c>
      <c r="E336" s="38"/>
      <c r="F336" s="38"/>
      <c r="G336" s="40">
        <v>1103309.45</v>
      </c>
      <c r="H336" s="45"/>
    </row>
    <row r="337" spans="1:8" ht="15">
      <c r="A337" s="39" t="s">
        <v>910</v>
      </c>
      <c r="B337" s="39" t="s">
        <v>1050</v>
      </c>
      <c r="C337" s="36"/>
      <c r="D337" s="30" t="s">
        <v>981</v>
      </c>
      <c r="E337" s="38"/>
      <c r="F337" s="38"/>
      <c r="G337" s="40">
        <v>918032.9</v>
      </c>
      <c r="H337" s="45"/>
    </row>
    <row r="338" spans="1:8" ht="15">
      <c r="A338" s="39" t="s">
        <v>910</v>
      </c>
      <c r="B338" s="39" t="s">
        <v>1052</v>
      </c>
      <c r="C338" s="36"/>
      <c r="D338" s="30" t="s">
        <v>982</v>
      </c>
      <c r="E338" s="38"/>
      <c r="F338" s="38"/>
      <c r="G338" s="40">
        <v>6508877.8</v>
      </c>
      <c r="H338" s="45"/>
    </row>
    <row r="339" spans="1:8" ht="15">
      <c r="A339" s="39" t="s">
        <v>910</v>
      </c>
      <c r="B339" s="39" t="s">
        <v>1057</v>
      </c>
      <c r="C339" s="22"/>
      <c r="D339" s="30" t="s">
        <v>983</v>
      </c>
      <c r="E339" s="38"/>
      <c r="F339" s="38"/>
      <c r="G339" s="40">
        <v>1697508.75</v>
      </c>
      <c r="H339" s="45"/>
    </row>
    <row r="340" spans="1:8" ht="15">
      <c r="A340" s="39" t="s">
        <v>910</v>
      </c>
      <c r="B340" s="39" t="s">
        <v>1059</v>
      </c>
      <c r="C340" s="36"/>
      <c r="D340" s="30" t="s">
        <v>984</v>
      </c>
      <c r="E340" s="38"/>
      <c r="F340" s="38"/>
      <c r="G340" s="40">
        <v>2807846</v>
      </c>
      <c r="H340" s="45"/>
    </row>
    <row r="341" spans="1:8" ht="15">
      <c r="A341" s="39" t="s">
        <v>910</v>
      </c>
      <c r="B341" s="39" t="s">
        <v>2036</v>
      </c>
      <c r="C341" s="36"/>
      <c r="D341" s="30" t="s">
        <v>985</v>
      </c>
      <c r="E341" s="38"/>
      <c r="F341" s="38"/>
      <c r="G341" s="40">
        <v>2336728</v>
      </c>
      <c r="H341" s="45"/>
    </row>
    <row r="342" spans="1:8" ht="15">
      <c r="A342" s="39" t="s">
        <v>910</v>
      </c>
      <c r="B342" s="39" t="s">
        <v>1062</v>
      </c>
      <c r="C342" s="22"/>
      <c r="D342" s="30" t="s">
        <v>986</v>
      </c>
      <c r="E342" s="38"/>
      <c r="F342" s="38"/>
      <c r="G342" s="40">
        <v>932963.25</v>
      </c>
      <c r="H342" s="45"/>
    </row>
    <row r="343" spans="1:8" ht="15">
      <c r="A343" s="39" t="s">
        <v>910</v>
      </c>
      <c r="B343" s="39" t="s">
        <v>1064</v>
      </c>
      <c r="C343" s="22"/>
      <c r="D343" s="30" t="s">
        <v>987</v>
      </c>
      <c r="E343" s="38"/>
      <c r="F343" s="38"/>
      <c r="G343" s="40">
        <v>2850438.05</v>
      </c>
      <c r="H343" s="45"/>
    </row>
    <row r="344" spans="1:8" ht="15">
      <c r="A344" s="39" t="s">
        <v>910</v>
      </c>
      <c r="B344" s="39" t="s">
        <v>1066</v>
      </c>
      <c r="C344" s="22"/>
      <c r="D344" s="30" t="s">
        <v>988</v>
      </c>
      <c r="E344" s="38"/>
      <c r="F344" s="38"/>
      <c r="G344" s="40">
        <v>2057027</v>
      </c>
      <c r="H344" s="45"/>
    </row>
    <row r="345" spans="1:8" ht="15">
      <c r="A345" s="39" t="s">
        <v>910</v>
      </c>
      <c r="B345" s="39" t="s">
        <v>778</v>
      </c>
      <c r="C345" s="36"/>
      <c r="D345" s="30" t="s">
        <v>989</v>
      </c>
      <c r="E345" s="38"/>
      <c r="F345" s="38"/>
      <c r="G345" s="40">
        <v>1861424.3</v>
      </c>
      <c r="H345" s="45"/>
    </row>
    <row r="346" spans="1:13" ht="15">
      <c r="A346" s="39" t="s">
        <v>990</v>
      </c>
      <c r="B346" s="39" t="s">
        <v>1159</v>
      </c>
      <c r="C346" s="36"/>
      <c r="D346" s="30" t="s">
        <v>991</v>
      </c>
      <c r="E346" s="38"/>
      <c r="F346" s="38"/>
      <c r="G346" s="40">
        <v>4078275.09</v>
      </c>
      <c r="H346" s="45"/>
      <c r="M346" s="40"/>
    </row>
    <row r="347" spans="1:13" ht="15">
      <c r="A347" s="39" t="s">
        <v>990</v>
      </c>
      <c r="B347" s="39" t="s">
        <v>1161</v>
      </c>
      <c r="C347" s="36"/>
      <c r="D347" s="30" t="s">
        <v>992</v>
      </c>
      <c r="E347" s="38"/>
      <c r="F347" s="38"/>
      <c r="G347" s="40">
        <v>425434.36</v>
      </c>
      <c r="H347" s="45"/>
      <c r="M347" s="40"/>
    </row>
    <row r="348" spans="1:13" ht="15">
      <c r="A348" s="39" t="s">
        <v>990</v>
      </c>
      <c r="B348" s="39" t="s">
        <v>1163</v>
      </c>
      <c r="C348" s="36"/>
      <c r="D348" s="30" t="s">
        <v>993</v>
      </c>
      <c r="E348" s="38"/>
      <c r="F348" s="38"/>
      <c r="G348" s="40">
        <v>2127171.77</v>
      </c>
      <c r="H348" s="45"/>
      <c r="M348" s="40"/>
    </row>
    <row r="349" spans="1:13" ht="15">
      <c r="A349" s="39" t="s">
        <v>990</v>
      </c>
      <c r="B349" s="39" t="s">
        <v>1165</v>
      </c>
      <c r="C349" s="36"/>
      <c r="D349" s="30" t="s">
        <v>994</v>
      </c>
      <c r="E349" s="38"/>
      <c r="F349" s="38"/>
      <c r="G349" s="40">
        <v>2978040.48</v>
      </c>
      <c r="H349" s="45"/>
      <c r="M349" s="40"/>
    </row>
    <row r="350" spans="1:13" ht="15">
      <c r="A350" s="39" t="s">
        <v>990</v>
      </c>
      <c r="B350" s="39" t="s">
        <v>1167</v>
      </c>
      <c r="C350" s="36"/>
      <c r="D350" s="30" t="s">
        <v>995</v>
      </c>
      <c r="E350" s="38"/>
      <c r="F350" s="38"/>
      <c r="G350" s="40">
        <v>0</v>
      </c>
      <c r="H350" s="45"/>
      <c r="M350" s="40"/>
    </row>
    <row r="351" spans="1:13" ht="15">
      <c r="A351" s="39" t="s">
        <v>990</v>
      </c>
      <c r="B351" s="39" t="s">
        <v>1169</v>
      </c>
      <c r="C351" s="36"/>
      <c r="D351" s="30" t="s">
        <v>996</v>
      </c>
      <c r="E351" s="38"/>
      <c r="F351" s="38"/>
      <c r="G351" s="40">
        <v>2127171.77</v>
      </c>
      <c r="H351" s="45"/>
      <c r="M351" s="40"/>
    </row>
    <row r="352" spans="1:13" ht="15">
      <c r="A352" s="39" t="s">
        <v>990</v>
      </c>
      <c r="B352" s="39" t="s">
        <v>1</v>
      </c>
      <c r="C352" s="36"/>
      <c r="D352" s="30" t="s">
        <v>997</v>
      </c>
      <c r="E352" s="38"/>
      <c r="F352" s="38"/>
      <c r="G352" s="40">
        <v>2552606.11</v>
      </c>
      <c r="H352" s="45"/>
      <c r="M352" s="40"/>
    </row>
    <row r="353" spans="1:13" ht="15">
      <c r="A353" s="39" t="s">
        <v>990</v>
      </c>
      <c r="B353" s="39" t="s">
        <v>728</v>
      </c>
      <c r="C353" s="36"/>
      <c r="D353" s="30" t="s">
        <v>998</v>
      </c>
      <c r="E353" s="38"/>
      <c r="F353" s="38"/>
      <c r="G353" s="40">
        <v>425434.36</v>
      </c>
      <c r="H353" s="45"/>
      <c r="M353" s="40"/>
    </row>
    <row r="354" spans="1:13" ht="15">
      <c r="A354" s="39" t="s">
        <v>990</v>
      </c>
      <c r="B354" s="39" t="s">
        <v>2041</v>
      </c>
      <c r="C354" s="36"/>
      <c r="D354" s="30" t="s">
        <v>440</v>
      </c>
      <c r="E354" s="38"/>
      <c r="F354" s="38"/>
      <c r="G354" s="40">
        <v>6471098.65</v>
      </c>
      <c r="H354" s="45"/>
      <c r="M354" s="40"/>
    </row>
    <row r="355" spans="1:13" ht="15">
      <c r="A355" s="39" t="s">
        <v>990</v>
      </c>
      <c r="B355" s="39" t="s">
        <v>2023</v>
      </c>
      <c r="C355" s="36"/>
      <c r="D355" s="30" t="s">
        <v>1514</v>
      </c>
      <c r="E355" s="38"/>
      <c r="F355" s="38"/>
      <c r="G355" s="40">
        <v>7709103.3100000005</v>
      </c>
      <c r="H355" s="45"/>
      <c r="M355" s="40"/>
    </row>
    <row r="356" spans="1:13" ht="15">
      <c r="A356" s="39" t="s">
        <v>990</v>
      </c>
      <c r="B356" s="39" t="s">
        <v>2044</v>
      </c>
      <c r="C356" s="36"/>
      <c r="D356" s="30" t="s">
        <v>1515</v>
      </c>
      <c r="E356" s="38"/>
      <c r="F356" s="38"/>
      <c r="G356" s="40">
        <v>9573580.75</v>
      </c>
      <c r="H356" s="45"/>
      <c r="M356" s="40"/>
    </row>
    <row r="357" spans="1:13" ht="15">
      <c r="A357" s="39" t="s">
        <v>990</v>
      </c>
      <c r="B357" s="39" t="s">
        <v>2018</v>
      </c>
      <c r="C357" s="36"/>
      <c r="D357" s="30" t="s">
        <v>1516</v>
      </c>
      <c r="E357" s="38"/>
      <c r="F357" s="38"/>
      <c r="G357" s="40">
        <v>10210424.48</v>
      </c>
      <c r="H357" s="45"/>
      <c r="M357" s="40"/>
    </row>
    <row r="358" spans="1:13" ht="15">
      <c r="A358" s="39" t="s">
        <v>990</v>
      </c>
      <c r="B358" s="39" t="s">
        <v>1696</v>
      </c>
      <c r="C358" s="36"/>
      <c r="D358" s="30" t="s">
        <v>1517</v>
      </c>
      <c r="E358" s="38"/>
      <c r="F358" s="38"/>
      <c r="G358" s="40">
        <v>9996399.5</v>
      </c>
      <c r="H358" s="45"/>
      <c r="M358" s="40"/>
    </row>
    <row r="359" spans="1:13" ht="15">
      <c r="A359" s="39" t="s">
        <v>990</v>
      </c>
      <c r="B359" s="39" t="s">
        <v>2032</v>
      </c>
      <c r="C359" s="36"/>
      <c r="D359" s="30" t="s">
        <v>1518</v>
      </c>
      <c r="E359" s="38"/>
      <c r="F359" s="38"/>
      <c r="G359" s="40">
        <v>13987768.729999999</v>
      </c>
      <c r="H359" s="45"/>
      <c r="M359" s="40"/>
    </row>
    <row r="360" spans="1:13" ht="15">
      <c r="A360" s="39" t="s">
        <v>990</v>
      </c>
      <c r="B360" s="39" t="s">
        <v>1040</v>
      </c>
      <c r="C360" s="36"/>
      <c r="D360" s="30" t="s">
        <v>1406</v>
      </c>
      <c r="E360" s="38"/>
      <c r="F360" s="38"/>
      <c r="G360" s="40">
        <v>18434616.77</v>
      </c>
      <c r="H360" s="45"/>
      <c r="M360" s="40"/>
    </row>
    <row r="361" spans="1:13" ht="15">
      <c r="A361" s="39" t="s">
        <v>990</v>
      </c>
      <c r="B361" s="39" t="s">
        <v>1042</v>
      </c>
      <c r="C361" s="36"/>
      <c r="D361" s="30" t="s">
        <v>1407</v>
      </c>
      <c r="E361" s="38"/>
      <c r="F361" s="38"/>
      <c r="G361" s="40">
        <v>2944290.72</v>
      </c>
      <c r="H361" s="45"/>
      <c r="M361" s="40"/>
    </row>
    <row r="362" spans="1:13" ht="15">
      <c r="A362" s="39" t="s">
        <v>990</v>
      </c>
      <c r="B362" s="39" t="s">
        <v>1743</v>
      </c>
      <c r="C362" s="36"/>
      <c r="D362" s="30" t="s">
        <v>1387</v>
      </c>
      <c r="E362" s="38"/>
      <c r="F362" s="38"/>
      <c r="G362" s="40">
        <v>2552606.11</v>
      </c>
      <c r="H362" s="45"/>
      <c r="M362" s="40"/>
    </row>
    <row r="363" spans="1:13" ht="15">
      <c r="A363" s="39" t="s">
        <v>990</v>
      </c>
      <c r="B363" s="39" t="s">
        <v>1045</v>
      </c>
      <c r="C363" s="36"/>
      <c r="D363" s="30" t="s">
        <v>1388</v>
      </c>
      <c r="E363" s="38"/>
      <c r="F363" s="38"/>
      <c r="G363" s="40">
        <v>12102628.090000002</v>
      </c>
      <c r="H363" s="45"/>
      <c r="M363" s="40"/>
    </row>
    <row r="364" spans="1:13" ht="15">
      <c r="A364" s="39" t="s">
        <v>990</v>
      </c>
      <c r="B364" s="39" t="s">
        <v>2034</v>
      </c>
      <c r="C364" s="36"/>
      <c r="D364" s="30" t="s">
        <v>1389</v>
      </c>
      <c r="E364" s="38"/>
      <c r="F364" s="38"/>
      <c r="G364" s="40">
        <v>8281293.889999999</v>
      </c>
      <c r="H364" s="45"/>
      <c r="M364" s="40"/>
    </row>
    <row r="365" spans="1:13" ht="15">
      <c r="A365" s="39" t="s">
        <v>990</v>
      </c>
      <c r="B365" s="39" t="s">
        <v>1057</v>
      </c>
      <c r="C365" s="36"/>
      <c r="D365" s="30" t="s">
        <v>1390</v>
      </c>
      <c r="E365" s="38"/>
      <c r="F365" s="38"/>
      <c r="G365" s="40">
        <v>850868.73</v>
      </c>
      <c r="H365" s="45"/>
      <c r="M365" s="40"/>
    </row>
    <row r="366" spans="1:13" ht="15">
      <c r="A366" s="39" t="s">
        <v>990</v>
      </c>
      <c r="B366" s="39" t="s">
        <v>1059</v>
      </c>
      <c r="C366" s="36"/>
      <c r="D366" s="30" t="s">
        <v>1391</v>
      </c>
      <c r="E366" s="38"/>
      <c r="F366" s="38"/>
      <c r="G366" s="40">
        <v>2552606.11</v>
      </c>
      <c r="H366" s="45"/>
      <c r="M366" s="40"/>
    </row>
    <row r="367" spans="1:13" ht="15">
      <c r="A367" s="39" t="s">
        <v>990</v>
      </c>
      <c r="B367" s="39" t="s">
        <v>2036</v>
      </c>
      <c r="C367" s="36"/>
      <c r="D367" s="30" t="s">
        <v>128</v>
      </c>
      <c r="E367" s="38"/>
      <c r="F367" s="38"/>
      <c r="G367" s="40">
        <v>2127171.77</v>
      </c>
      <c r="H367" s="45"/>
      <c r="M367" s="40"/>
    </row>
    <row r="368" spans="1:13" ht="15">
      <c r="A368" s="39" t="s">
        <v>990</v>
      </c>
      <c r="B368" s="39" t="s">
        <v>1064</v>
      </c>
      <c r="C368" s="36"/>
      <c r="D368" s="30" t="s">
        <v>129</v>
      </c>
      <c r="E368" s="38"/>
      <c r="F368" s="38"/>
      <c r="G368" s="40">
        <v>116923216.43999998</v>
      </c>
      <c r="H368" s="45"/>
      <c r="M368" s="40"/>
    </row>
    <row r="369" spans="1:13" ht="15">
      <c r="A369" s="39" t="s">
        <v>990</v>
      </c>
      <c r="B369" s="39" t="s">
        <v>1066</v>
      </c>
      <c r="C369" s="36"/>
      <c r="D369" s="30" t="s">
        <v>130</v>
      </c>
      <c r="E369" s="38"/>
      <c r="F369" s="38"/>
      <c r="G369" s="40">
        <v>2604606.11</v>
      </c>
      <c r="H369" s="45"/>
      <c r="M369" s="40"/>
    </row>
    <row r="370" spans="1:13" ht="15">
      <c r="A370" s="39" t="s">
        <v>990</v>
      </c>
      <c r="B370" s="39" t="s">
        <v>778</v>
      </c>
      <c r="C370" s="36"/>
      <c r="D370" s="30" t="s">
        <v>131</v>
      </c>
      <c r="E370" s="38"/>
      <c r="F370" s="38"/>
      <c r="G370" s="40">
        <v>1701737.4</v>
      </c>
      <c r="H370" s="45"/>
      <c r="M370" s="40"/>
    </row>
    <row r="371" spans="1:13" ht="15">
      <c r="A371" s="39" t="s">
        <v>132</v>
      </c>
      <c r="B371" s="39" t="s">
        <v>1064</v>
      </c>
      <c r="C371" s="36"/>
      <c r="D371" s="30" t="s">
        <v>133</v>
      </c>
      <c r="E371" s="38"/>
      <c r="F371" s="38"/>
      <c r="G371" s="40">
        <v>3857981</v>
      </c>
      <c r="H371" s="45"/>
      <c r="M371" s="42"/>
    </row>
    <row r="372" spans="1:8" ht="15">
      <c r="A372" s="39" t="s">
        <v>134</v>
      </c>
      <c r="B372" s="39" t="s">
        <v>1064</v>
      </c>
      <c r="C372" s="36"/>
      <c r="D372" s="30" t="s">
        <v>135</v>
      </c>
      <c r="E372" s="38"/>
      <c r="F372" s="38"/>
      <c r="G372" s="40">
        <v>6445500</v>
      </c>
      <c r="H372" s="45"/>
    </row>
    <row r="373" spans="1:8" ht="15">
      <c r="A373" s="39" t="s">
        <v>136</v>
      </c>
      <c r="B373" s="39" t="s">
        <v>1064</v>
      </c>
      <c r="C373" s="36"/>
      <c r="D373" s="30" t="s">
        <v>137</v>
      </c>
      <c r="E373" s="38"/>
      <c r="F373" s="38"/>
      <c r="G373" s="40">
        <v>256912195</v>
      </c>
      <c r="H373" s="45"/>
    </row>
    <row r="374" spans="1:8" ht="15">
      <c r="A374" s="39" t="s">
        <v>138</v>
      </c>
      <c r="B374" s="39" t="s">
        <v>1064</v>
      </c>
      <c r="C374" s="36"/>
      <c r="D374" s="30" t="s">
        <v>139</v>
      </c>
      <c r="E374" s="38"/>
      <c r="F374" s="38"/>
      <c r="G374" s="40">
        <v>228034411</v>
      </c>
      <c r="H374" s="45"/>
    </row>
    <row r="375" spans="1:8" ht="15">
      <c r="A375" s="39" t="s">
        <v>140</v>
      </c>
      <c r="B375" s="39" t="s">
        <v>1066</v>
      </c>
      <c r="C375" s="36"/>
      <c r="D375" s="30" t="s">
        <v>141</v>
      </c>
      <c r="E375" s="38"/>
      <c r="F375" s="38"/>
      <c r="G375" s="40">
        <v>2190393</v>
      </c>
      <c r="H375" s="45"/>
    </row>
    <row r="376" spans="1:8" ht="15">
      <c r="A376" s="39" t="s">
        <v>142</v>
      </c>
      <c r="B376" s="39" t="s">
        <v>1064</v>
      </c>
      <c r="C376" s="36"/>
      <c r="D376" s="30" t="s">
        <v>143</v>
      </c>
      <c r="E376" s="38"/>
      <c r="F376" s="38"/>
      <c r="G376" s="40">
        <v>48886780</v>
      </c>
      <c r="H376" s="45"/>
    </row>
    <row r="377" spans="1:13" ht="15">
      <c r="A377" s="39" t="s">
        <v>144</v>
      </c>
      <c r="B377" s="39" t="s">
        <v>1159</v>
      </c>
      <c r="C377" s="36"/>
      <c r="D377" s="30" t="s">
        <v>145</v>
      </c>
      <c r="E377" s="38"/>
      <c r="F377" s="38"/>
      <c r="G377" s="40">
        <v>152304542.84999996</v>
      </c>
      <c r="H377" s="45"/>
      <c r="M377" s="40"/>
    </row>
    <row r="378" spans="1:13" ht="15">
      <c r="A378" s="39" t="s">
        <v>144</v>
      </c>
      <c r="B378" s="39" t="s">
        <v>1161</v>
      </c>
      <c r="C378" s="36"/>
      <c r="D378" s="30" t="s">
        <v>146</v>
      </c>
      <c r="E378" s="38"/>
      <c r="F378" s="38"/>
      <c r="G378" s="40">
        <v>6674510.349999999</v>
      </c>
      <c r="H378" s="45"/>
      <c r="M378" s="40"/>
    </row>
    <row r="379" spans="1:13" ht="15">
      <c r="A379" s="39" t="s">
        <v>144</v>
      </c>
      <c r="B379" s="39" t="s">
        <v>1163</v>
      </c>
      <c r="C379" s="36"/>
      <c r="D379" s="30" t="s">
        <v>147</v>
      </c>
      <c r="E379" s="38"/>
      <c r="F379" s="38"/>
      <c r="G379" s="40">
        <v>3308472</v>
      </c>
      <c r="H379" s="45"/>
      <c r="M379" s="40"/>
    </row>
    <row r="380" spans="1:13" ht="15">
      <c r="A380" s="39" t="s">
        <v>144</v>
      </c>
      <c r="B380" s="39" t="s">
        <v>1165</v>
      </c>
      <c r="C380" s="22"/>
      <c r="D380" s="30" t="s">
        <v>148</v>
      </c>
      <c r="E380" s="38"/>
      <c r="F380" s="38"/>
      <c r="G380" s="40">
        <v>5250000</v>
      </c>
      <c r="H380" s="45"/>
      <c r="M380" s="40"/>
    </row>
    <row r="381" spans="1:13" ht="15">
      <c r="A381" s="39" t="s">
        <v>144</v>
      </c>
      <c r="B381" s="39" t="s">
        <v>1167</v>
      </c>
      <c r="C381" s="22"/>
      <c r="D381" s="30" t="s">
        <v>149</v>
      </c>
      <c r="E381" s="38"/>
      <c r="F381" s="38"/>
      <c r="G381" s="40">
        <v>0</v>
      </c>
      <c r="H381" s="45"/>
      <c r="M381" s="40"/>
    </row>
    <row r="382" spans="1:13" ht="15">
      <c r="A382" s="39" t="s">
        <v>144</v>
      </c>
      <c r="B382" s="39" t="s">
        <v>1169</v>
      </c>
      <c r="C382" s="22"/>
      <c r="D382" s="30" t="s">
        <v>150</v>
      </c>
      <c r="E382" s="38"/>
      <c r="F382" s="38"/>
      <c r="G382" s="40">
        <v>4566537.21</v>
      </c>
      <c r="H382" s="45"/>
      <c r="M382" s="40"/>
    </row>
    <row r="383" spans="1:13" ht="15">
      <c r="A383" s="39" t="s">
        <v>144</v>
      </c>
      <c r="B383" s="39" t="s">
        <v>1</v>
      </c>
      <c r="C383" s="22"/>
      <c r="D383" s="30" t="s">
        <v>151</v>
      </c>
      <c r="E383" s="38"/>
      <c r="F383" s="38"/>
      <c r="G383" s="40">
        <v>3106912.11</v>
      </c>
      <c r="H383" s="45"/>
      <c r="M383" s="40"/>
    </row>
    <row r="384" spans="1:13" ht="15">
      <c r="A384" s="39" t="s">
        <v>144</v>
      </c>
      <c r="B384" s="39" t="s">
        <v>728</v>
      </c>
      <c r="C384" s="22"/>
      <c r="D384" s="30" t="s">
        <v>152</v>
      </c>
      <c r="E384" s="38"/>
      <c r="F384" s="38"/>
      <c r="G384" s="40">
        <v>1924617.17</v>
      </c>
      <c r="H384" s="45"/>
      <c r="M384" s="40"/>
    </row>
    <row r="385" spans="1:13" ht="15">
      <c r="A385" s="39" t="s">
        <v>144</v>
      </c>
      <c r="B385" s="39" t="s">
        <v>2041</v>
      </c>
      <c r="C385" s="36"/>
      <c r="D385" s="30" t="s">
        <v>153</v>
      </c>
      <c r="E385" s="38"/>
      <c r="F385" s="38"/>
      <c r="G385" s="40">
        <v>23609597.889999997</v>
      </c>
      <c r="H385" s="45"/>
      <c r="M385" s="40"/>
    </row>
    <row r="386" spans="1:13" ht="15">
      <c r="A386" s="39" t="s">
        <v>144</v>
      </c>
      <c r="B386" s="39" t="s">
        <v>731</v>
      </c>
      <c r="C386" s="22"/>
      <c r="D386" s="30" t="s">
        <v>154</v>
      </c>
      <c r="E386" s="38"/>
      <c r="F386" s="38"/>
      <c r="G386" s="40">
        <v>5540036</v>
      </c>
      <c r="H386" s="45"/>
      <c r="M386" s="40"/>
    </row>
    <row r="387" spans="1:13" ht="15">
      <c r="A387" s="39" t="s">
        <v>144</v>
      </c>
      <c r="B387" s="39" t="s">
        <v>2023</v>
      </c>
      <c r="C387" s="22"/>
      <c r="D387" s="30" t="s">
        <v>155</v>
      </c>
      <c r="E387" s="38"/>
      <c r="F387" s="38"/>
      <c r="G387" s="40">
        <v>12876936.65</v>
      </c>
      <c r="H387" s="45"/>
      <c r="M387" s="40"/>
    </row>
    <row r="388" spans="1:13" ht="15">
      <c r="A388" s="39" t="s">
        <v>144</v>
      </c>
      <c r="B388" s="39" t="s">
        <v>2044</v>
      </c>
      <c r="C388" s="22"/>
      <c r="D388" s="30" t="s">
        <v>156</v>
      </c>
      <c r="E388" s="38"/>
      <c r="F388" s="38"/>
      <c r="G388" s="40">
        <v>10495927.059999999</v>
      </c>
      <c r="H388" s="45"/>
      <c r="M388" s="40"/>
    </row>
    <row r="389" spans="1:13" ht="15">
      <c r="A389" s="39" t="s">
        <v>144</v>
      </c>
      <c r="B389" s="39" t="s">
        <v>2018</v>
      </c>
      <c r="C389" s="22"/>
      <c r="D389" s="30" t="s">
        <v>157</v>
      </c>
      <c r="E389" s="38"/>
      <c r="F389" s="38"/>
      <c r="G389" s="40">
        <v>15127738.829999998</v>
      </c>
      <c r="H389" s="45"/>
      <c r="M389" s="40"/>
    </row>
    <row r="390" spans="1:13" ht="15">
      <c r="A390" s="39" t="s">
        <v>144</v>
      </c>
      <c r="B390" s="39" t="s">
        <v>1696</v>
      </c>
      <c r="C390" s="22"/>
      <c r="D390" s="30" t="s">
        <v>158</v>
      </c>
      <c r="E390" s="38"/>
      <c r="F390" s="38"/>
      <c r="G390" s="40">
        <v>16010491.160000002</v>
      </c>
      <c r="H390" s="45"/>
      <c r="M390" s="40"/>
    </row>
    <row r="391" spans="1:13" ht="15">
      <c r="A391" s="39" t="s">
        <v>144</v>
      </c>
      <c r="B391" s="39" t="s">
        <v>2032</v>
      </c>
      <c r="C391" s="22"/>
      <c r="D391" s="30" t="s">
        <v>159</v>
      </c>
      <c r="E391" s="38"/>
      <c r="F391" s="38"/>
      <c r="G391" s="40">
        <v>12190023.46</v>
      </c>
      <c r="H391" s="45"/>
      <c r="M391" s="40"/>
    </row>
    <row r="392" spans="1:13" ht="15">
      <c r="A392" s="39" t="s">
        <v>144</v>
      </c>
      <c r="B392" s="39" t="s">
        <v>1038</v>
      </c>
      <c r="C392" s="22"/>
      <c r="D392" s="30" t="s">
        <v>160</v>
      </c>
      <c r="E392" s="38"/>
      <c r="F392" s="38"/>
      <c r="G392" s="40">
        <v>0</v>
      </c>
      <c r="H392" s="45"/>
      <c r="M392" s="40"/>
    </row>
    <row r="393" spans="1:13" ht="15">
      <c r="A393" s="39" t="s">
        <v>144</v>
      </c>
      <c r="B393" s="39" t="s">
        <v>1040</v>
      </c>
      <c r="C393" s="22"/>
      <c r="D393" s="30" t="s">
        <v>161</v>
      </c>
      <c r="E393" s="38"/>
      <c r="F393" s="38"/>
      <c r="G393" s="40">
        <v>21307007.730000004</v>
      </c>
      <c r="H393" s="45"/>
      <c r="M393" s="40"/>
    </row>
    <row r="394" spans="1:13" ht="15">
      <c r="A394" s="39" t="s">
        <v>144</v>
      </c>
      <c r="B394" s="39" t="s">
        <v>1042</v>
      </c>
      <c r="C394" s="22"/>
      <c r="D394" s="30" t="s">
        <v>162</v>
      </c>
      <c r="E394" s="38"/>
      <c r="F394" s="38"/>
      <c r="G394" s="40">
        <v>3283426.37</v>
      </c>
      <c r="H394" s="45"/>
      <c r="M394" s="40"/>
    </row>
    <row r="395" spans="1:13" ht="15">
      <c r="A395" s="39" t="s">
        <v>144</v>
      </c>
      <c r="B395" s="39" t="s">
        <v>1743</v>
      </c>
      <c r="C395" s="22"/>
      <c r="D395" s="30" t="s">
        <v>822</v>
      </c>
      <c r="E395" s="38"/>
      <c r="F395" s="38"/>
      <c r="G395" s="40">
        <v>3783748.08</v>
      </c>
      <c r="H395" s="45"/>
      <c r="M395" s="40"/>
    </row>
    <row r="396" spans="1:13" ht="15">
      <c r="A396" s="39" t="s">
        <v>144</v>
      </c>
      <c r="B396" s="39" t="s">
        <v>1045</v>
      </c>
      <c r="C396" s="22"/>
      <c r="D396" s="30" t="s">
        <v>823</v>
      </c>
      <c r="E396" s="38"/>
      <c r="F396" s="38"/>
      <c r="G396" s="40">
        <v>21994632.93</v>
      </c>
      <c r="H396" s="45"/>
      <c r="M396" s="40"/>
    </row>
    <row r="397" spans="1:13" ht="15">
      <c r="A397" s="39" t="s">
        <v>144</v>
      </c>
      <c r="B397" s="39" t="s">
        <v>2034</v>
      </c>
      <c r="C397" s="22"/>
      <c r="D397" s="30" t="s">
        <v>824</v>
      </c>
      <c r="E397" s="38"/>
      <c r="F397" s="38"/>
      <c r="G397" s="40">
        <v>11455282.879999999</v>
      </c>
      <c r="H397" s="45"/>
      <c r="M397" s="40"/>
    </row>
    <row r="398" spans="1:13" ht="15">
      <c r="A398" s="39" t="s">
        <v>144</v>
      </c>
      <c r="B398" s="39" t="s">
        <v>1048</v>
      </c>
      <c r="C398" s="22"/>
      <c r="D398" s="30" t="s">
        <v>825</v>
      </c>
      <c r="E398" s="38"/>
      <c r="F398" s="38"/>
      <c r="G398" s="40">
        <v>2793472</v>
      </c>
      <c r="H398" s="45"/>
      <c r="M398" s="40"/>
    </row>
    <row r="399" spans="1:13" ht="15">
      <c r="A399" s="39" t="s">
        <v>144</v>
      </c>
      <c r="B399" s="39" t="s">
        <v>1050</v>
      </c>
      <c r="C399" s="22"/>
      <c r="D399" s="30" t="s">
        <v>826</v>
      </c>
      <c r="E399" s="38"/>
      <c r="F399" s="38"/>
      <c r="G399" s="40">
        <v>1200000</v>
      </c>
      <c r="H399" s="45"/>
      <c r="M399" s="40"/>
    </row>
    <row r="400" spans="1:13" ht="15">
      <c r="A400" s="39" t="s">
        <v>144</v>
      </c>
      <c r="B400" s="39" t="s">
        <v>1052</v>
      </c>
      <c r="C400" s="22"/>
      <c r="D400" s="30" t="s">
        <v>827</v>
      </c>
      <c r="E400" s="38"/>
      <c r="F400" s="38"/>
      <c r="G400" s="40">
        <v>1200000</v>
      </c>
      <c r="H400" s="45"/>
      <c r="M400" s="40"/>
    </row>
    <row r="401" spans="1:13" ht="15">
      <c r="A401" s="39" t="s">
        <v>144</v>
      </c>
      <c r="B401" s="39" t="s">
        <v>1057</v>
      </c>
      <c r="C401" s="22"/>
      <c r="D401" s="30" t="s">
        <v>828</v>
      </c>
      <c r="E401" s="38"/>
      <c r="F401" s="38"/>
      <c r="G401" s="40">
        <v>4322500</v>
      </c>
      <c r="H401" s="45"/>
      <c r="M401" s="40"/>
    </row>
    <row r="402" spans="1:13" ht="15">
      <c r="A402" s="39" t="s">
        <v>144</v>
      </c>
      <c r="B402" s="39" t="s">
        <v>1059</v>
      </c>
      <c r="C402" s="22"/>
      <c r="D402" s="30" t="s">
        <v>829</v>
      </c>
      <c r="E402" s="38"/>
      <c r="F402" s="38"/>
      <c r="G402" s="40">
        <v>2666754.27</v>
      </c>
      <c r="H402" s="45"/>
      <c r="M402" s="40"/>
    </row>
    <row r="403" spans="1:13" ht="15">
      <c r="A403" s="39" t="s">
        <v>144</v>
      </c>
      <c r="B403" s="39" t="s">
        <v>2036</v>
      </c>
      <c r="C403" s="22"/>
      <c r="D403" s="30" t="s">
        <v>830</v>
      </c>
      <c r="E403" s="38"/>
      <c r="F403" s="38"/>
      <c r="G403" s="40">
        <v>3075000</v>
      </c>
      <c r="H403" s="45"/>
      <c r="M403" s="40"/>
    </row>
    <row r="404" spans="1:13" ht="15">
      <c r="A404" s="39" t="s">
        <v>144</v>
      </c>
      <c r="B404" s="39" t="s">
        <v>1062</v>
      </c>
      <c r="C404" s="22"/>
      <c r="D404" s="30" t="s">
        <v>831</v>
      </c>
      <c r="E404" s="38"/>
      <c r="F404" s="38"/>
      <c r="G404" s="40">
        <v>1200000</v>
      </c>
      <c r="H404" s="45"/>
      <c r="M404" s="40"/>
    </row>
    <row r="405" spans="1:13" ht="15">
      <c r="A405" s="39" t="s">
        <v>144</v>
      </c>
      <c r="B405" s="39" t="s">
        <v>1064</v>
      </c>
      <c r="C405" s="22"/>
      <c r="D405" s="30" t="s">
        <v>832</v>
      </c>
      <c r="E405" s="38"/>
      <c r="F405" s="38"/>
      <c r="G405" s="40">
        <v>12856655.530000001</v>
      </c>
      <c r="H405" s="45"/>
      <c r="M405" s="40"/>
    </row>
    <row r="406" spans="1:13" ht="15">
      <c r="A406" s="39" t="s">
        <v>144</v>
      </c>
      <c r="B406" s="39" t="s">
        <v>1066</v>
      </c>
      <c r="C406" s="22"/>
      <c r="D406" s="30" t="s">
        <v>833</v>
      </c>
      <c r="E406" s="38"/>
      <c r="F406" s="38"/>
      <c r="G406" s="40">
        <v>2834247.04</v>
      </c>
      <c r="H406" s="45"/>
      <c r="M406" s="40"/>
    </row>
    <row r="407" spans="1:13" ht="15">
      <c r="A407" s="39" t="s">
        <v>144</v>
      </c>
      <c r="B407" s="39" t="s">
        <v>778</v>
      </c>
      <c r="C407" s="22"/>
      <c r="D407" s="30" t="s">
        <v>834</v>
      </c>
      <c r="E407" s="38"/>
      <c r="F407" s="38"/>
      <c r="G407" s="40">
        <v>4261304.09</v>
      </c>
      <c r="H407" s="45"/>
      <c r="M407" s="40"/>
    </row>
    <row r="408" spans="1:13" ht="15">
      <c r="A408" s="39" t="s">
        <v>835</v>
      </c>
      <c r="B408" s="39" t="s">
        <v>2041</v>
      </c>
      <c r="C408" s="22"/>
      <c r="D408" s="30" t="s">
        <v>1392</v>
      </c>
      <c r="E408" s="38"/>
      <c r="F408" s="38"/>
      <c r="G408" s="40">
        <v>89286349.08</v>
      </c>
      <c r="H408" s="45"/>
      <c r="M408" s="42"/>
    </row>
    <row r="409" spans="1:8" ht="15">
      <c r="A409" s="39" t="s">
        <v>835</v>
      </c>
      <c r="B409" s="39" t="s">
        <v>1059</v>
      </c>
      <c r="C409" s="22"/>
      <c r="D409" s="30" t="s">
        <v>1393</v>
      </c>
      <c r="E409" s="38"/>
      <c r="F409" s="38"/>
      <c r="G409" s="40">
        <v>0</v>
      </c>
      <c r="H409" s="45"/>
    </row>
    <row r="410" spans="1:8" ht="15">
      <c r="A410" s="39" t="s">
        <v>835</v>
      </c>
      <c r="B410" s="39" t="s">
        <v>2036</v>
      </c>
      <c r="C410" s="22"/>
      <c r="D410" s="30" t="s">
        <v>1394</v>
      </c>
      <c r="E410" s="38"/>
      <c r="F410" s="38"/>
      <c r="G410" s="40">
        <v>255000</v>
      </c>
      <c r="H410" s="45"/>
    </row>
    <row r="411" spans="1:8" ht="15">
      <c r="A411" s="39" t="s">
        <v>835</v>
      </c>
      <c r="B411" s="39" t="s">
        <v>778</v>
      </c>
      <c r="C411" s="22"/>
      <c r="D411" s="30" t="s">
        <v>1395</v>
      </c>
      <c r="E411" s="38"/>
      <c r="F411" s="38"/>
      <c r="G411" s="40">
        <v>50000</v>
      </c>
      <c r="H411" s="45"/>
    </row>
    <row r="412" spans="1:8" ht="15">
      <c r="A412" s="39" t="s">
        <v>1396</v>
      </c>
      <c r="B412" s="39" t="s">
        <v>1064</v>
      </c>
      <c r="C412" s="22"/>
      <c r="D412" s="30" t="s">
        <v>1397</v>
      </c>
      <c r="E412" s="38"/>
      <c r="F412" s="38"/>
      <c r="G412" s="45"/>
      <c r="H412" s="45"/>
    </row>
    <row r="413" spans="1:13" ht="15">
      <c r="A413" s="39" t="s">
        <v>1398</v>
      </c>
      <c r="B413" s="39" t="s">
        <v>1159</v>
      </c>
      <c r="C413" s="22"/>
      <c r="D413" s="30" t="s">
        <v>1399</v>
      </c>
      <c r="E413" s="38"/>
      <c r="F413" s="38"/>
      <c r="G413" s="53">
        <v>30919867.85</v>
      </c>
      <c r="H413" s="45"/>
      <c r="M413" s="53"/>
    </row>
    <row r="414" spans="1:13" ht="15">
      <c r="A414" s="39" t="s">
        <v>1398</v>
      </c>
      <c r="B414" s="39" t="s">
        <v>1400</v>
      </c>
      <c r="C414" s="22"/>
      <c r="D414" s="30" t="s">
        <v>1401</v>
      </c>
      <c r="E414" s="38"/>
      <c r="F414" s="38"/>
      <c r="G414" s="53">
        <v>10292845</v>
      </c>
      <c r="H414" s="45"/>
      <c r="M414" s="53"/>
    </row>
    <row r="415" spans="1:13" ht="15">
      <c r="A415" s="39" t="s">
        <v>1398</v>
      </c>
      <c r="B415" s="39" t="s">
        <v>1402</v>
      </c>
      <c r="C415" s="22"/>
      <c r="D415" s="30" t="s">
        <v>1403</v>
      </c>
      <c r="E415" s="38"/>
      <c r="F415" s="38"/>
      <c r="G415" s="53">
        <v>16836865.36</v>
      </c>
      <c r="H415" s="45"/>
      <c r="M415" s="53"/>
    </row>
    <row r="416" spans="1:13" ht="15">
      <c r="A416" s="39" t="s">
        <v>1398</v>
      </c>
      <c r="B416" s="39" t="s">
        <v>1161</v>
      </c>
      <c r="C416" s="22"/>
      <c r="D416" s="30" t="s">
        <v>1404</v>
      </c>
      <c r="E416" s="38"/>
      <c r="F416" s="38"/>
      <c r="G416" s="53">
        <f>100478452.35-47042316.67</f>
        <v>53436135.67999999</v>
      </c>
      <c r="H416" s="45"/>
      <c r="M416" s="53"/>
    </row>
    <row r="417" spans="1:13" ht="15">
      <c r="A417" s="39" t="s">
        <v>1398</v>
      </c>
      <c r="B417" s="39" t="s">
        <v>1165</v>
      </c>
      <c r="C417" s="22"/>
      <c r="D417" s="30" t="s">
        <v>839</v>
      </c>
      <c r="E417" s="38"/>
      <c r="F417" s="38"/>
      <c r="G417" s="53">
        <v>47042316.67</v>
      </c>
      <c r="H417" s="45"/>
      <c r="M417" s="53"/>
    </row>
    <row r="418" spans="1:13" ht="15">
      <c r="A418" s="39" t="s">
        <v>1398</v>
      </c>
      <c r="B418" s="39" t="s">
        <v>1167</v>
      </c>
      <c r="C418" s="22"/>
      <c r="D418" s="30" t="s">
        <v>840</v>
      </c>
      <c r="E418" s="38"/>
      <c r="F418" s="38"/>
      <c r="G418" s="53">
        <v>630811280.6299999</v>
      </c>
      <c r="H418" s="45"/>
      <c r="M418" s="53"/>
    </row>
    <row r="419" spans="1:13" ht="15">
      <c r="A419" s="39" t="s">
        <v>1398</v>
      </c>
      <c r="B419" s="39" t="s">
        <v>841</v>
      </c>
      <c r="C419" s="22"/>
      <c r="D419" s="30" t="s">
        <v>842</v>
      </c>
      <c r="E419" s="38"/>
      <c r="F419" s="38"/>
      <c r="G419" s="53">
        <v>104591387.41000003</v>
      </c>
      <c r="H419" s="45"/>
      <c r="M419" s="53"/>
    </row>
    <row r="420" spans="1:13" ht="15">
      <c r="A420" s="39" t="s">
        <v>1398</v>
      </c>
      <c r="B420" s="39" t="s">
        <v>2041</v>
      </c>
      <c r="C420" s="36"/>
      <c r="D420" s="30" t="s">
        <v>843</v>
      </c>
      <c r="E420" s="38"/>
      <c r="F420" s="38"/>
      <c r="G420" s="53">
        <v>77187540.28999999</v>
      </c>
      <c r="H420" s="45"/>
      <c r="M420" s="53"/>
    </row>
    <row r="421" spans="1:13" ht="15">
      <c r="A421" s="39" t="s">
        <v>1398</v>
      </c>
      <c r="B421" s="39" t="s">
        <v>2034</v>
      </c>
      <c r="C421" s="36"/>
      <c r="D421" s="30" t="s">
        <v>844</v>
      </c>
      <c r="E421" s="38"/>
      <c r="F421" s="38"/>
      <c r="G421" s="53">
        <v>65784415.19</v>
      </c>
      <c r="H421" s="45"/>
      <c r="M421" s="53"/>
    </row>
    <row r="422" spans="1:13" ht="15">
      <c r="A422" s="39" t="s">
        <v>1398</v>
      </c>
      <c r="B422" s="39" t="s">
        <v>1057</v>
      </c>
      <c r="C422" s="36"/>
      <c r="D422" s="30" t="s">
        <v>845</v>
      </c>
      <c r="E422" s="38"/>
      <c r="F422" s="38"/>
      <c r="G422" s="53">
        <v>11567662</v>
      </c>
      <c r="H422" s="45"/>
      <c r="M422" s="53"/>
    </row>
    <row r="423" spans="1:13" ht="15">
      <c r="A423" s="39" t="s">
        <v>1398</v>
      </c>
      <c r="B423" s="39" t="s">
        <v>1064</v>
      </c>
      <c r="C423" s="22"/>
      <c r="D423" s="30" t="s">
        <v>846</v>
      </c>
      <c r="E423" s="38"/>
      <c r="F423" s="38"/>
      <c r="G423" s="53">
        <v>1836286.82</v>
      </c>
      <c r="H423" s="45"/>
      <c r="M423" s="53"/>
    </row>
    <row r="424" spans="1:13" ht="15">
      <c r="A424" s="39" t="s">
        <v>847</v>
      </c>
      <c r="B424" s="39" t="s">
        <v>1159</v>
      </c>
      <c r="C424" s="22"/>
      <c r="D424" s="30" t="s">
        <v>848</v>
      </c>
      <c r="E424" s="38"/>
      <c r="F424" s="38"/>
      <c r="G424" s="40">
        <v>145256511.83</v>
      </c>
      <c r="H424" s="45"/>
      <c r="M424" s="40"/>
    </row>
    <row r="425" spans="1:13" ht="15">
      <c r="A425" s="39" t="s">
        <v>847</v>
      </c>
      <c r="B425" s="39" t="s">
        <v>1167</v>
      </c>
      <c r="C425" s="22"/>
      <c r="D425" s="30" t="s">
        <v>849</v>
      </c>
      <c r="E425" s="38"/>
      <c r="F425" s="38"/>
      <c r="G425" s="40">
        <v>547500</v>
      </c>
      <c r="H425" s="45"/>
      <c r="M425" s="40"/>
    </row>
    <row r="426" spans="1:13" ht="15">
      <c r="A426" s="39" t="s">
        <v>847</v>
      </c>
      <c r="B426" s="39" t="s">
        <v>2023</v>
      </c>
      <c r="C426" s="22"/>
      <c r="D426" s="30" t="s">
        <v>850</v>
      </c>
      <c r="E426" s="38"/>
      <c r="F426" s="38"/>
      <c r="G426" s="40">
        <v>300936719.1</v>
      </c>
      <c r="H426" s="45"/>
      <c r="M426" s="40"/>
    </row>
    <row r="427" spans="1:13" ht="15">
      <c r="A427" s="39"/>
      <c r="B427" s="39" t="s">
        <v>2044</v>
      </c>
      <c r="C427" s="22"/>
      <c r="D427" s="30" t="s">
        <v>851</v>
      </c>
      <c r="E427" s="38"/>
      <c r="F427" s="38"/>
      <c r="G427" s="40">
        <v>1004800</v>
      </c>
      <c r="H427" s="45"/>
      <c r="M427" s="40"/>
    </row>
    <row r="428" spans="1:13" ht="15">
      <c r="A428" s="39" t="s">
        <v>847</v>
      </c>
      <c r="B428" s="39" t="s">
        <v>2018</v>
      </c>
      <c r="C428" s="22"/>
      <c r="D428" s="30" t="s">
        <v>852</v>
      </c>
      <c r="E428" s="38"/>
      <c r="F428" s="38"/>
      <c r="G428" s="40">
        <v>165088876.5</v>
      </c>
      <c r="H428" s="45"/>
      <c r="M428" s="40"/>
    </row>
    <row r="429" spans="1:13" ht="15">
      <c r="A429" s="39" t="s">
        <v>847</v>
      </c>
      <c r="B429" s="39" t="s">
        <v>1696</v>
      </c>
      <c r="C429" s="22"/>
      <c r="D429" s="30" t="s">
        <v>853</v>
      </c>
      <c r="E429" s="38"/>
      <c r="F429" s="38"/>
      <c r="G429" s="40">
        <v>24429583.87</v>
      </c>
      <c r="H429" s="45"/>
      <c r="M429" s="40"/>
    </row>
    <row r="430" spans="1:13" ht="15">
      <c r="A430" s="39" t="s">
        <v>847</v>
      </c>
      <c r="B430" s="39" t="s">
        <v>2032</v>
      </c>
      <c r="C430" s="22"/>
      <c r="D430" s="30" t="s">
        <v>854</v>
      </c>
      <c r="E430" s="38"/>
      <c r="F430" s="38"/>
      <c r="G430" s="40">
        <v>0</v>
      </c>
      <c r="H430" s="45"/>
      <c r="M430" s="40"/>
    </row>
    <row r="431" spans="1:13" ht="15">
      <c r="A431" s="39" t="s">
        <v>847</v>
      </c>
      <c r="B431" s="39" t="s">
        <v>778</v>
      </c>
      <c r="C431" s="22"/>
      <c r="D431" s="30" t="s">
        <v>855</v>
      </c>
      <c r="E431" s="38"/>
      <c r="F431" s="38"/>
      <c r="G431" s="40">
        <v>216513248.69</v>
      </c>
      <c r="H431" s="45"/>
      <c r="M431" s="40"/>
    </row>
    <row r="432" spans="1:13" ht="15">
      <c r="A432" s="39" t="s">
        <v>856</v>
      </c>
      <c r="B432" s="39" t="s">
        <v>2023</v>
      </c>
      <c r="C432" s="22"/>
      <c r="D432" s="30" t="s">
        <v>857</v>
      </c>
      <c r="E432" s="46"/>
      <c r="F432" s="38"/>
      <c r="G432" s="40">
        <v>90832212.39999995</v>
      </c>
      <c r="H432" s="45"/>
      <c r="M432" s="40"/>
    </row>
    <row r="433" spans="1:13" ht="15">
      <c r="A433" s="39" t="s">
        <v>856</v>
      </c>
      <c r="B433" s="39" t="s">
        <v>2044</v>
      </c>
      <c r="C433" s="22"/>
      <c r="D433" s="30" t="s">
        <v>858</v>
      </c>
      <c r="E433" s="46"/>
      <c r="F433" s="38"/>
      <c r="G433" s="40">
        <v>14652000</v>
      </c>
      <c r="H433" s="45"/>
      <c r="M433" s="40"/>
    </row>
    <row r="434" spans="1:13" ht="15">
      <c r="A434" s="39" t="s">
        <v>856</v>
      </c>
      <c r="B434" s="39" t="s">
        <v>2018</v>
      </c>
      <c r="C434" s="22"/>
      <c r="D434" s="30" t="s">
        <v>859</v>
      </c>
      <c r="E434" s="46"/>
      <c r="F434" s="38"/>
      <c r="G434" s="40">
        <v>124327579.91</v>
      </c>
      <c r="H434" s="45"/>
      <c r="M434" s="40"/>
    </row>
    <row r="435" spans="1:13" ht="15">
      <c r="A435" s="39" t="s">
        <v>856</v>
      </c>
      <c r="B435" s="39" t="s">
        <v>1696</v>
      </c>
      <c r="C435" s="22"/>
      <c r="D435" s="30" t="s">
        <v>860</v>
      </c>
      <c r="E435" s="46"/>
      <c r="F435" s="38"/>
      <c r="G435" s="40">
        <v>107005719.05000001</v>
      </c>
      <c r="H435" s="45"/>
      <c r="M435" s="40"/>
    </row>
    <row r="436" spans="1:13" ht="15">
      <c r="A436" s="39" t="s">
        <v>856</v>
      </c>
      <c r="B436" s="39" t="s">
        <v>2032</v>
      </c>
      <c r="C436" s="22"/>
      <c r="D436" s="30" t="s">
        <v>861</v>
      </c>
      <c r="E436" s="46"/>
      <c r="F436" s="38"/>
      <c r="G436" s="40">
        <v>61114369.46</v>
      </c>
      <c r="H436" s="45"/>
      <c r="M436" s="40"/>
    </row>
    <row r="437" spans="1:13" ht="15">
      <c r="A437" s="39" t="s">
        <v>856</v>
      </c>
      <c r="B437" s="39" t="s">
        <v>2036</v>
      </c>
      <c r="C437" s="22"/>
      <c r="D437" s="30" t="s">
        <v>862</v>
      </c>
      <c r="E437" s="46"/>
      <c r="F437" s="38"/>
      <c r="G437" s="40">
        <v>2000180.4</v>
      </c>
      <c r="H437" s="45"/>
      <c r="M437" s="40"/>
    </row>
    <row r="438" spans="1:13" ht="15">
      <c r="A438" s="39" t="s">
        <v>863</v>
      </c>
      <c r="B438" s="39" t="s">
        <v>1159</v>
      </c>
      <c r="C438" s="36"/>
      <c r="D438" s="30" t="s">
        <v>864</v>
      </c>
      <c r="E438" s="46"/>
      <c r="F438" s="38"/>
      <c r="G438" s="40">
        <v>4037948.2</v>
      </c>
      <c r="H438" s="45"/>
      <c r="M438" s="40"/>
    </row>
    <row r="439" spans="1:13" ht="15">
      <c r="A439" s="39" t="s">
        <v>863</v>
      </c>
      <c r="B439" s="39" t="s">
        <v>1161</v>
      </c>
      <c r="C439" s="36"/>
      <c r="D439" s="30" t="s">
        <v>865</v>
      </c>
      <c r="E439" s="46"/>
      <c r="F439" s="38"/>
      <c r="G439" s="40">
        <v>8722043.000000002</v>
      </c>
      <c r="H439" s="45"/>
      <c r="M439" s="40"/>
    </row>
    <row r="440" spans="1:13" ht="15">
      <c r="A440" s="39" t="s">
        <v>863</v>
      </c>
      <c r="B440" s="39" t="s">
        <v>1163</v>
      </c>
      <c r="C440" s="36"/>
      <c r="D440" s="30" t="s">
        <v>866</v>
      </c>
      <c r="E440" s="46"/>
      <c r="F440" s="38"/>
      <c r="G440" s="51">
        <v>0</v>
      </c>
      <c r="H440" s="45"/>
      <c r="M440" s="51"/>
    </row>
    <row r="441" spans="1:13" ht="15">
      <c r="A441" s="39" t="s">
        <v>863</v>
      </c>
      <c r="B441" s="39" t="s">
        <v>1165</v>
      </c>
      <c r="C441" s="36"/>
      <c r="D441" s="30" t="s">
        <v>867</v>
      </c>
      <c r="E441" s="46"/>
      <c r="F441" s="38"/>
      <c r="G441" s="51">
        <v>0</v>
      </c>
      <c r="H441" s="45"/>
      <c r="M441" s="51"/>
    </row>
    <row r="442" spans="1:13" ht="15">
      <c r="A442" s="39" t="s">
        <v>863</v>
      </c>
      <c r="B442" s="39" t="s">
        <v>1167</v>
      </c>
      <c r="C442" s="36"/>
      <c r="D442" s="30" t="s">
        <v>868</v>
      </c>
      <c r="E442" s="46"/>
      <c r="F442" s="38"/>
      <c r="G442" s="40">
        <v>5480070.510000001</v>
      </c>
      <c r="H442" s="45"/>
      <c r="M442" s="40"/>
    </row>
    <row r="443" spans="1:13" ht="15">
      <c r="A443" s="39" t="s">
        <v>863</v>
      </c>
      <c r="B443" s="39" t="s">
        <v>1169</v>
      </c>
      <c r="C443" s="36"/>
      <c r="D443" s="30" t="s">
        <v>869</v>
      </c>
      <c r="E443" s="46"/>
      <c r="F443" s="38"/>
      <c r="G443" s="40">
        <v>45000</v>
      </c>
      <c r="H443" s="45"/>
      <c r="M443" s="40"/>
    </row>
    <row r="444" spans="1:13" ht="15">
      <c r="A444" s="39" t="s">
        <v>863</v>
      </c>
      <c r="B444" s="39" t="s">
        <v>1</v>
      </c>
      <c r="C444" s="22"/>
      <c r="D444" s="30" t="s">
        <v>870</v>
      </c>
      <c r="E444" s="46"/>
      <c r="F444" s="38"/>
      <c r="G444" s="51">
        <v>0</v>
      </c>
      <c r="H444" s="45"/>
      <c r="M444" s="51"/>
    </row>
    <row r="445" spans="1:13" ht="15">
      <c r="A445" s="39" t="s">
        <v>863</v>
      </c>
      <c r="B445" s="39" t="s">
        <v>728</v>
      </c>
      <c r="C445" s="22"/>
      <c r="D445" s="30" t="s">
        <v>871</v>
      </c>
      <c r="E445" s="46"/>
      <c r="F445" s="38"/>
      <c r="G445" s="51">
        <v>0</v>
      </c>
      <c r="H445" s="45"/>
      <c r="M445" s="51"/>
    </row>
    <row r="446" spans="1:13" ht="15">
      <c r="A446" s="39" t="s">
        <v>863</v>
      </c>
      <c r="B446" s="39" t="s">
        <v>2041</v>
      </c>
      <c r="C446" s="22"/>
      <c r="D446" s="30" t="s">
        <v>872</v>
      </c>
      <c r="E446" s="46"/>
      <c r="F446" s="38"/>
      <c r="G446" s="40">
        <v>8948687.910000002</v>
      </c>
      <c r="H446" s="45"/>
      <c r="M446" s="40"/>
    </row>
    <row r="447" spans="1:13" ht="15">
      <c r="A447" s="39" t="s">
        <v>863</v>
      </c>
      <c r="B447" s="39" t="s">
        <v>731</v>
      </c>
      <c r="C447" s="36"/>
      <c r="D447" s="30" t="s">
        <v>873</v>
      </c>
      <c r="E447" s="46"/>
      <c r="F447" s="38"/>
      <c r="G447" s="51">
        <v>0</v>
      </c>
      <c r="H447" s="45"/>
      <c r="M447" s="51"/>
    </row>
    <row r="448" spans="1:13" ht="15">
      <c r="A448" s="39" t="s">
        <v>863</v>
      </c>
      <c r="B448" s="39" t="s">
        <v>2023</v>
      </c>
      <c r="C448" s="36"/>
      <c r="D448" s="30" t="s">
        <v>874</v>
      </c>
      <c r="E448" s="46"/>
      <c r="F448" s="38"/>
      <c r="G448" s="40">
        <v>315029.05</v>
      </c>
      <c r="H448" s="45"/>
      <c r="M448" s="40"/>
    </row>
    <row r="449" spans="1:13" ht="15">
      <c r="A449" s="39" t="s">
        <v>863</v>
      </c>
      <c r="B449" s="39" t="s">
        <v>2044</v>
      </c>
      <c r="C449" s="22"/>
      <c r="D449" s="30" t="s">
        <v>875</v>
      </c>
      <c r="E449" s="46"/>
      <c r="F449" s="38"/>
      <c r="G449" s="40">
        <v>1170839.15</v>
      </c>
      <c r="H449" s="45"/>
      <c r="M449" s="40"/>
    </row>
    <row r="450" spans="1:13" ht="15">
      <c r="A450" s="39" t="s">
        <v>863</v>
      </c>
      <c r="B450" s="39" t="s">
        <v>2018</v>
      </c>
      <c r="C450" s="22"/>
      <c r="D450" s="30" t="s">
        <v>876</v>
      </c>
      <c r="E450" s="46"/>
      <c r="F450" s="38"/>
      <c r="G450" s="40">
        <v>525542.85</v>
      </c>
      <c r="H450" s="45"/>
      <c r="M450" s="40"/>
    </row>
    <row r="451" spans="1:13" ht="15">
      <c r="A451" s="39" t="s">
        <v>863</v>
      </c>
      <c r="B451" s="39" t="s">
        <v>1696</v>
      </c>
      <c r="C451" s="22"/>
      <c r="D451" s="30" t="s">
        <v>877</v>
      </c>
      <c r="E451" s="46"/>
      <c r="F451" s="38"/>
      <c r="G451" s="40">
        <v>1886242.75</v>
      </c>
      <c r="H451" s="45"/>
      <c r="M451" s="40"/>
    </row>
    <row r="452" spans="1:13" ht="15">
      <c r="A452" s="39" t="s">
        <v>863</v>
      </c>
      <c r="B452" s="39" t="s">
        <v>2032</v>
      </c>
      <c r="C452" s="36"/>
      <c r="D452" s="30" t="s">
        <v>878</v>
      </c>
      <c r="E452" s="46"/>
      <c r="F452" s="38"/>
      <c r="G452" s="40">
        <v>781763.53</v>
      </c>
      <c r="H452" s="45"/>
      <c r="M452" s="40"/>
    </row>
    <row r="453" spans="1:13" ht="15">
      <c r="A453" s="39" t="s">
        <v>863</v>
      </c>
      <c r="B453" s="39" t="s">
        <v>1038</v>
      </c>
      <c r="C453" s="22"/>
      <c r="D453" s="30" t="s">
        <v>1577</v>
      </c>
      <c r="E453" s="46"/>
      <c r="F453" s="38"/>
      <c r="G453" s="51">
        <v>0</v>
      </c>
      <c r="H453" s="45"/>
      <c r="M453" s="51"/>
    </row>
    <row r="454" spans="1:13" ht="15">
      <c r="A454" s="39" t="s">
        <v>863</v>
      </c>
      <c r="B454" s="39" t="s">
        <v>1040</v>
      </c>
      <c r="C454" s="36"/>
      <c r="D454" s="30" t="s">
        <v>1578</v>
      </c>
      <c r="E454" s="46"/>
      <c r="F454" s="38"/>
      <c r="G454" s="40">
        <v>691689.23</v>
      </c>
      <c r="H454" s="45"/>
      <c r="M454" s="40"/>
    </row>
    <row r="455" spans="1:13" ht="15">
      <c r="A455" s="39" t="s">
        <v>863</v>
      </c>
      <c r="B455" s="39" t="s">
        <v>1042</v>
      </c>
      <c r="C455" s="36"/>
      <c r="D455" s="30" t="s">
        <v>1579</v>
      </c>
      <c r="E455" s="46"/>
      <c r="F455" s="38"/>
      <c r="G455" s="40">
        <v>217936.55</v>
      </c>
      <c r="H455" s="45"/>
      <c r="M455" s="40"/>
    </row>
    <row r="456" spans="1:13" ht="15">
      <c r="A456" s="39" t="s">
        <v>863</v>
      </c>
      <c r="B456" s="39" t="s">
        <v>1743</v>
      </c>
      <c r="C456" s="22"/>
      <c r="D456" s="30" t="s">
        <v>468</v>
      </c>
      <c r="E456" s="46"/>
      <c r="F456" s="38"/>
      <c r="G456" s="40">
        <v>317748.56</v>
      </c>
      <c r="H456" s="45"/>
      <c r="M456" s="40"/>
    </row>
    <row r="457" spans="1:13" ht="15">
      <c r="A457" s="39" t="s">
        <v>863</v>
      </c>
      <c r="B457" s="39" t="s">
        <v>1045</v>
      </c>
      <c r="C457" s="22"/>
      <c r="D457" s="30" t="s">
        <v>469</v>
      </c>
      <c r="E457" s="46"/>
      <c r="F457" s="38"/>
      <c r="G457" s="40">
        <v>863548.74</v>
      </c>
      <c r="H457" s="45"/>
      <c r="M457" s="40"/>
    </row>
    <row r="458" spans="1:13" ht="15">
      <c r="A458" s="39" t="s">
        <v>863</v>
      </c>
      <c r="B458" s="39" t="s">
        <v>2034</v>
      </c>
      <c r="C458" s="22"/>
      <c r="D458" s="30" t="s">
        <v>1756</v>
      </c>
      <c r="E458" s="46"/>
      <c r="F458" s="38"/>
      <c r="G458" s="40">
        <v>946937.27</v>
      </c>
      <c r="H458" s="45"/>
      <c r="M458" s="40"/>
    </row>
    <row r="459" spans="1:13" ht="15">
      <c r="A459" s="39" t="s">
        <v>863</v>
      </c>
      <c r="B459" s="39" t="s">
        <v>1048</v>
      </c>
      <c r="C459" s="22"/>
      <c r="D459" s="30" t="s">
        <v>1757</v>
      </c>
      <c r="E459" s="46"/>
      <c r="F459" s="38"/>
      <c r="G459" s="51">
        <v>0</v>
      </c>
      <c r="H459" s="45"/>
      <c r="M459" s="51"/>
    </row>
    <row r="460" spans="1:13" ht="15">
      <c r="A460" s="39" t="s">
        <v>863</v>
      </c>
      <c r="B460" s="39" t="s">
        <v>1050</v>
      </c>
      <c r="C460" s="22"/>
      <c r="D460" s="30" t="s">
        <v>1758</v>
      </c>
      <c r="E460" s="46"/>
      <c r="F460" s="38"/>
      <c r="G460" s="51">
        <v>0</v>
      </c>
      <c r="H460" s="45"/>
      <c r="M460" s="51"/>
    </row>
    <row r="461" spans="1:13" ht="15">
      <c r="A461" s="39" t="s">
        <v>863</v>
      </c>
      <c r="B461" s="39" t="s">
        <v>1052</v>
      </c>
      <c r="C461" s="22"/>
      <c r="D461" s="30" t="s">
        <v>649</v>
      </c>
      <c r="E461" s="46"/>
      <c r="F461" s="38"/>
      <c r="G461" s="51">
        <v>0</v>
      </c>
      <c r="H461" s="45"/>
      <c r="M461" s="51"/>
    </row>
    <row r="462" spans="1:13" ht="15">
      <c r="A462" s="39" t="s">
        <v>863</v>
      </c>
      <c r="B462" s="39" t="s">
        <v>1057</v>
      </c>
      <c r="C462" s="22"/>
      <c r="D462" s="30" t="s">
        <v>1228</v>
      </c>
      <c r="E462" s="46"/>
      <c r="F462" s="38"/>
      <c r="G462" s="40">
        <v>525464.07</v>
      </c>
      <c r="H462" s="45"/>
      <c r="M462" s="40"/>
    </row>
    <row r="463" spans="1:13" ht="15">
      <c r="A463" s="39" t="s">
        <v>863</v>
      </c>
      <c r="B463" s="39" t="s">
        <v>1059</v>
      </c>
      <c r="C463" s="22"/>
      <c r="D463" s="30" t="s">
        <v>1229</v>
      </c>
      <c r="E463" s="46"/>
      <c r="F463" s="38"/>
      <c r="G463" s="40">
        <v>9993419.13</v>
      </c>
      <c r="H463" s="45"/>
      <c r="M463" s="40"/>
    </row>
    <row r="464" spans="1:13" ht="15">
      <c r="A464" s="39" t="s">
        <v>863</v>
      </c>
      <c r="B464" s="39" t="s">
        <v>2036</v>
      </c>
      <c r="C464" s="22"/>
      <c r="D464" s="30" t="s">
        <v>1230</v>
      </c>
      <c r="E464" s="46"/>
      <c r="F464" s="38"/>
      <c r="G464" s="51">
        <v>0</v>
      </c>
      <c r="H464" s="45"/>
      <c r="M464" s="51"/>
    </row>
    <row r="465" spans="1:13" ht="15">
      <c r="A465" s="39" t="s">
        <v>863</v>
      </c>
      <c r="B465" s="39" t="s">
        <v>1062</v>
      </c>
      <c r="C465" s="22"/>
      <c r="D465" s="30" t="s">
        <v>1231</v>
      </c>
      <c r="E465" s="46"/>
      <c r="F465" s="38"/>
      <c r="G465" s="40">
        <v>28000</v>
      </c>
      <c r="H465" s="45"/>
      <c r="M465" s="40"/>
    </row>
    <row r="466" spans="1:13" ht="15">
      <c r="A466" s="39" t="s">
        <v>863</v>
      </c>
      <c r="B466" s="39" t="s">
        <v>1064</v>
      </c>
      <c r="C466" s="22"/>
      <c r="D466" s="30" t="s">
        <v>944</v>
      </c>
      <c r="E466" s="46"/>
      <c r="F466" s="38"/>
      <c r="G466" s="40">
        <v>1429593.9</v>
      </c>
      <c r="H466" s="45"/>
      <c r="M466" s="40"/>
    </row>
    <row r="467" spans="1:13" ht="15">
      <c r="A467" s="39" t="s">
        <v>863</v>
      </c>
      <c r="B467" s="39" t="s">
        <v>1066</v>
      </c>
      <c r="C467" s="36"/>
      <c r="D467" s="30" t="s">
        <v>945</v>
      </c>
      <c r="E467" s="46"/>
      <c r="F467" s="38"/>
      <c r="G467" s="51">
        <v>0</v>
      </c>
      <c r="H467" s="45"/>
      <c r="M467" s="51"/>
    </row>
    <row r="468" spans="1:13" ht="15">
      <c r="A468" s="39" t="s">
        <v>863</v>
      </c>
      <c r="B468" s="39" t="s">
        <v>778</v>
      </c>
      <c r="C468" s="22"/>
      <c r="D468" s="30" t="s">
        <v>946</v>
      </c>
      <c r="E468" s="46"/>
      <c r="F468" s="38"/>
      <c r="G468" s="40">
        <v>205246.23</v>
      </c>
      <c r="H468" s="45"/>
      <c r="M468" s="40"/>
    </row>
    <row r="469" spans="1:13" ht="15">
      <c r="A469" s="39" t="s">
        <v>947</v>
      </c>
      <c r="B469" s="39" t="s">
        <v>1159</v>
      </c>
      <c r="C469" s="36"/>
      <c r="D469" s="30" t="s">
        <v>948</v>
      </c>
      <c r="E469" s="45"/>
      <c r="F469" s="38"/>
      <c r="G469" s="40">
        <f>39196527.89+35415+150680.46+243116.5</f>
        <v>39625739.85</v>
      </c>
      <c r="H469" s="45"/>
      <c r="M469" s="40"/>
    </row>
    <row r="470" spans="1:13" ht="15">
      <c r="A470" s="39" t="s">
        <v>947</v>
      </c>
      <c r="B470" s="39" t="s">
        <v>1161</v>
      </c>
      <c r="C470" s="36"/>
      <c r="D470" s="30" t="s">
        <v>611</v>
      </c>
      <c r="E470" s="38"/>
      <c r="F470" s="38"/>
      <c r="G470" s="40">
        <v>3774280.96</v>
      </c>
      <c r="H470" s="45"/>
      <c r="M470" s="40"/>
    </row>
    <row r="471" spans="1:13" ht="15">
      <c r="A471" s="39" t="s">
        <v>947</v>
      </c>
      <c r="B471" s="39" t="s">
        <v>1163</v>
      </c>
      <c r="C471" s="36"/>
      <c r="D471" s="30" t="s">
        <v>612</v>
      </c>
      <c r="E471" s="38"/>
      <c r="F471" s="38"/>
      <c r="G471" s="40">
        <v>564833.32</v>
      </c>
      <c r="H471" s="45"/>
      <c r="M471" s="40"/>
    </row>
    <row r="472" spans="1:13" ht="15">
      <c r="A472" s="39" t="s">
        <v>947</v>
      </c>
      <c r="B472" s="39" t="s">
        <v>1165</v>
      </c>
      <c r="C472" s="36"/>
      <c r="D472" s="30" t="s">
        <v>613</v>
      </c>
      <c r="E472" s="38"/>
      <c r="F472" s="38"/>
      <c r="G472" s="40">
        <v>847871.54</v>
      </c>
      <c r="H472" s="45"/>
      <c r="M472" s="40"/>
    </row>
    <row r="473" spans="1:13" ht="15">
      <c r="A473" s="39" t="s">
        <v>947</v>
      </c>
      <c r="B473" s="39" t="s">
        <v>1167</v>
      </c>
      <c r="C473" s="36"/>
      <c r="D473" s="30" t="s">
        <v>614</v>
      </c>
      <c r="E473" s="38"/>
      <c r="F473" s="38"/>
      <c r="G473" s="40">
        <v>3277022.45</v>
      </c>
      <c r="H473" s="45"/>
      <c r="M473" s="40"/>
    </row>
    <row r="474" spans="1:13" ht="15">
      <c r="A474" s="39" t="s">
        <v>947</v>
      </c>
      <c r="B474" s="39" t="s">
        <v>1169</v>
      </c>
      <c r="C474" s="36"/>
      <c r="D474" s="30" t="s">
        <v>615</v>
      </c>
      <c r="E474" s="38"/>
      <c r="F474" s="38"/>
      <c r="G474" s="40">
        <v>1879241.67</v>
      </c>
      <c r="H474" s="45"/>
      <c r="M474" s="40"/>
    </row>
    <row r="475" spans="1:13" ht="15">
      <c r="A475" s="39" t="s">
        <v>947</v>
      </c>
      <c r="B475" s="39" t="s">
        <v>1</v>
      </c>
      <c r="C475" s="22"/>
      <c r="D475" s="30" t="s">
        <v>616</v>
      </c>
      <c r="E475" s="38"/>
      <c r="F475" s="38"/>
      <c r="G475" s="40">
        <v>1756458.33</v>
      </c>
      <c r="H475" s="45"/>
      <c r="M475" s="40"/>
    </row>
    <row r="476" spans="1:13" ht="15">
      <c r="A476" s="39" t="s">
        <v>947</v>
      </c>
      <c r="B476" s="39" t="s">
        <v>728</v>
      </c>
      <c r="C476" s="22"/>
      <c r="D476" s="30" t="s">
        <v>617</v>
      </c>
      <c r="E476" s="38"/>
      <c r="F476" s="38"/>
      <c r="G476" s="40">
        <v>480525.01</v>
      </c>
      <c r="H476" s="45"/>
      <c r="M476" s="40"/>
    </row>
    <row r="477" spans="1:13" ht="15">
      <c r="A477" s="39" t="s">
        <v>947</v>
      </c>
      <c r="B477" s="39" t="s">
        <v>841</v>
      </c>
      <c r="C477" s="22"/>
      <c r="D477" s="30" t="s">
        <v>618</v>
      </c>
      <c r="E477" s="38"/>
      <c r="F477" s="38"/>
      <c r="G477" s="40">
        <v>28187723.009999998</v>
      </c>
      <c r="H477" s="45"/>
      <c r="M477" s="40"/>
    </row>
    <row r="478" spans="1:13" ht="15">
      <c r="A478" s="39" t="s">
        <v>947</v>
      </c>
      <c r="B478" s="39" t="s">
        <v>2041</v>
      </c>
      <c r="C478" s="22"/>
      <c r="D478" s="30" t="s">
        <v>619</v>
      </c>
      <c r="E478" s="38"/>
      <c r="F478" s="38"/>
      <c r="G478" s="40">
        <v>16085876.880000003</v>
      </c>
      <c r="H478" s="45"/>
      <c r="M478" s="40"/>
    </row>
    <row r="479" spans="1:13" ht="15">
      <c r="A479" s="39" t="s">
        <v>947</v>
      </c>
      <c r="B479" s="39" t="s">
        <v>731</v>
      </c>
      <c r="C479" s="36"/>
      <c r="D479" s="30" t="s">
        <v>620</v>
      </c>
      <c r="E479" s="38"/>
      <c r="F479" s="38"/>
      <c r="G479" s="40">
        <v>119799.17</v>
      </c>
      <c r="H479" s="45"/>
      <c r="M479" s="40"/>
    </row>
    <row r="480" spans="1:13" ht="15">
      <c r="A480" s="39" t="s">
        <v>947</v>
      </c>
      <c r="B480" s="39" t="s">
        <v>2023</v>
      </c>
      <c r="C480" s="36"/>
      <c r="D480" s="30" t="s">
        <v>621</v>
      </c>
      <c r="E480" s="38"/>
      <c r="F480" s="38"/>
      <c r="G480" s="40">
        <v>4045933.32</v>
      </c>
      <c r="H480" s="45"/>
      <c r="M480" s="40"/>
    </row>
    <row r="481" spans="1:13" ht="15">
      <c r="A481" s="39" t="s">
        <v>947</v>
      </c>
      <c r="B481" s="39" t="s">
        <v>2044</v>
      </c>
      <c r="C481" s="22"/>
      <c r="D481" s="30" t="s">
        <v>622</v>
      </c>
      <c r="E481" s="38"/>
      <c r="F481" s="38"/>
      <c r="G481" s="40">
        <v>849375</v>
      </c>
      <c r="H481" s="45"/>
      <c r="M481" s="40"/>
    </row>
    <row r="482" spans="1:13" ht="15">
      <c r="A482" s="39" t="s">
        <v>947</v>
      </c>
      <c r="B482" s="39" t="s">
        <v>2018</v>
      </c>
      <c r="C482" s="22"/>
      <c r="D482" s="30" t="s">
        <v>623</v>
      </c>
      <c r="E482" s="38"/>
      <c r="F482" s="38"/>
      <c r="G482" s="40">
        <v>757918.12</v>
      </c>
      <c r="H482" s="45"/>
      <c r="M482" s="40"/>
    </row>
    <row r="483" spans="1:13" ht="15">
      <c r="A483" s="39" t="s">
        <v>947</v>
      </c>
      <c r="B483" s="39" t="s">
        <v>1696</v>
      </c>
      <c r="C483" s="22"/>
      <c r="D483" s="30" t="s">
        <v>624</v>
      </c>
      <c r="E483" s="38"/>
      <c r="F483" s="38"/>
      <c r="G483" s="40">
        <v>6169035.160000001</v>
      </c>
      <c r="H483" s="45"/>
      <c r="M483" s="40"/>
    </row>
    <row r="484" spans="1:13" ht="15">
      <c r="A484" s="39" t="s">
        <v>947</v>
      </c>
      <c r="B484" s="39" t="s">
        <v>2032</v>
      </c>
      <c r="C484" s="36"/>
      <c r="D484" s="30" t="s">
        <v>625</v>
      </c>
      <c r="E484" s="38"/>
      <c r="F484" s="38"/>
      <c r="G484" s="40">
        <v>1095900</v>
      </c>
      <c r="H484" s="45"/>
      <c r="M484" s="40"/>
    </row>
    <row r="485" spans="1:13" ht="15">
      <c r="A485" s="39" t="s">
        <v>947</v>
      </c>
      <c r="B485" s="39" t="s">
        <v>1038</v>
      </c>
      <c r="C485" s="22"/>
      <c r="D485" s="30" t="s">
        <v>626</v>
      </c>
      <c r="E485" s="38"/>
      <c r="F485" s="38"/>
      <c r="G485" s="40">
        <v>59324</v>
      </c>
      <c r="H485" s="45"/>
      <c r="M485" s="40"/>
    </row>
    <row r="486" spans="1:13" ht="15">
      <c r="A486" s="39" t="s">
        <v>947</v>
      </c>
      <c r="B486" s="39" t="s">
        <v>1040</v>
      </c>
      <c r="C486" s="36"/>
      <c r="D486" s="30" t="s">
        <v>627</v>
      </c>
      <c r="E486" s="38"/>
      <c r="F486" s="38"/>
      <c r="G486" s="40">
        <v>5653561.870000001</v>
      </c>
      <c r="H486" s="45"/>
      <c r="M486" s="40"/>
    </row>
    <row r="487" spans="1:13" ht="15">
      <c r="A487" s="39" t="s">
        <v>947</v>
      </c>
      <c r="B487" s="39" t="s">
        <v>1042</v>
      </c>
      <c r="C487" s="36"/>
      <c r="D487" s="30" t="s">
        <v>628</v>
      </c>
      <c r="E487" s="38"/>
      <c r="F487" s="38"/>
      <c r="G487" s="40">
        <v>487108.33</v>
      </c>
      <c r="H487" s="45"/>
      <c r="M487" s="40"/>
    </row>
    <row r="488" spans="1:13" ht="15">
      <c r="A488" s="39" t="s">
        <v>947</v>
      </c>
      <c r="B488" s="39" t="s">
        <v>1743</v>
      </c>
      <c r="C488" s="22"/>
      <c r="D488" s="30" t="s">
        <v>629</v>
      </c>
      <c r="E488" s="38"/>
      <c r="F488" s="38"/>
      <c r="G488" s="40">
        <v>934379.41</v>
      </c>
      <c r="H488" s="45"/>
      <c r="M488" s="40"/>
    </row>
    <row r="489" spans="1:13" ht="15">
      <c r="A489" s="39" t="s">
        <v>947</v>
      </c>
      <c r="B489" s="39" t="s">
        <v>1045</v>
      </c>
      <c r="C489" s="22"/>
      <c r="D489" s="30" t="s">
        <v>630</v>
      </c>
      <c r="E489" s="38"/>
      <c r="F489" s="38"/>
      <c r="G489" s="40">
        <v>3287341.67</v>
      </c>
      <c r="H489" s="45"/>
      <c r="M489" s="40"/>
    </row>
    <row r="490" spans="1:13" ht="15">
      <c r="A490" s="39" t="s">
        <v>947</v>
      </c>
      <c r="B490" s="39" t="s">
        <v>2034</v>
      </c>
      <c r="C490" s="22"/>
      <c r="D490" s="30" t="s">
        <v>631</v>
      </c>
      <c r="E490" s="38"/>
      <c r="F490" s="38"/>
      <c r="G490" s="40">
        <v>3308789.87</v>
      </c>
      <c r="H490" s="45"/>
      <c r="M490" s="40"/>
    </row>
    <row r="491" spans="1:13" ht="15">
      <c r="A491" s="39" t="s">
        <v>947</v>
      </c>
      <c r="B491" s="39" t="s">
        <v>1048</v>
      </c>
      <c r="C491" s="22"/>
      <c r="D491" s="30" t="s">
        <v>632</v>
      </c>
      <c r="E491" s="38"/>
      <c r="F491" s="38"/>
      <c r="G491" s="40">
        <v>0</v>
      </c>
      <c r="H491" s="45"/>
      <c r="M491" s="40"/>
    </row>
    <row r="492" spans="1:13" ht="15">
      <c r="A492" s="39" t="s">
        <v>947</v>
      </c>
      <c r="B492" s="39" t="s">
        <v>1050</v>
      </c>
      <c r="C492" s="22"/>
      <c r="D492" s="30" t="s">
        <v>633</v>
      </c>
      <c r="E492" s="38"/>
      <c r="F492" s="38"/>
      <c r="G492" s="40">
        <v>0</v>
      </c>
      <c r="H492" s="45"/>
      <c r="M492" s="40"/>
    </row>
    <row r="493" spans="1:13" ht="15">
      <c r="A493" s="39" t="s">
        <v>947</v>
      </c>
      <c r="B493" s="39" t="s">
        <v>1052</v>
      </c>
      <c r="C493" s="22"/>
      <c r="D493" s="30" t="s">
        <v>634</v>
      </c>
      <c r="E493" s="38"/>
      <c r="F493" s="38"/>
      <c r="G493" s="40">
        <v>0</v>
      </c>
      <c r="H493" s="45"/>
      <c r="M493" s="40"/>
    </row>
    <row r="494" spans="1:13" ht="15">
      <c r="A494" s="39" t="s">
        <v>947</v>
      </c>
      <c r="B494" s="39" t="s">
        <v>1057</v>
      </c>
      <c r="C494" s="22"/>
      <c r="D494" s="30" t="s">
        <v>635</v>
      </c>
      <c r="E494" s="38"/>
      <c r="F494" s="38"/>
      <c r="G494" s="40">
        <v>4792542.83</v>
      </c>
      <c r="H494" s="45"/>
      <c r="M494" s="40"/>
    </row>
    <row r="495" spans="1:13" ht="15">
      <c r="A495" s="39" t="s">
        <v>947</v>
      </c>
      <c r="B495" s="39" t="s">
        <v>1059</v>
      </c>
      <c r="C495" s="22"/>
      <c r="D495" s="30" t="s">
        <v>636</v>
      </c>
      <c r="E495" s="38"/>
      <c r="F495" s="38"/>
      <c r="G495" s="40">
        <v>3983055.14</v>
      </c>
      <c r="H495" s="45"/>
      <c r="M495" s="40"/>
    </row>
    <row r="496" spans="1:13" ht="15">
      <c r="A496" s="39" t="s">
        <v>947</v>
      </c>
      <c r="B496" s="39" t="s">
        <v>2036</v>
      </c>
      <c r="C496" s="22"/>
      <c r="D496" s="30" t="s">
        <v>637</v>
      </c>
      <c r="E496" s="38"/>
      <c r="F496" s="38"/>
      <c r="G496" s="40">
        <v>3198508.25</v>
      </c>
      <c r="H496" s="45"/>
      <c r="M496" s="40"/>
    </row>
    <row r="497" spans="1:13" ht="15">
      <c r="A497" s="39" t="s">
        <v>947</v>
      </c>
      <c r="B497" s="39" t="s">
        <v>1062</v>
      </c>
      <c r="C497" s="22"/>
      <c r="D497" s="30" t="s">
        <v>638</v>
      </c>
      <c r="E497" s="38"/>
      <c r="F497" s="38"/>
      <c r="G497" s="40">
        <v>0</v>
      </c>
      <c r="H497" s="45"/>
      <c r="M497" s="40"/>
    </row>
    <row r="498" spans="1:13" ht="15">
      <c r="A498" s="39" t="s">
        <v>947</v>
      </c>
      <c r="B498" s="39" t="s">
        <v>1064</v>
      </c>
      <c r="C498" s="22"/>
      <c r="D498" s="30" t="s">
        <v>19</v>
      </c>
      <c r="E498" s="38"/>
      <c r="F498" s="38"/>
      <c r="G498" s="40">
        <v>10562863.47</v>
      </c>
      <c r="H498" s="45"/>
      <c r="M498" s="40"/>
    </row>
    <row r="499" spans="1:13" ht="15">
      <c r="A499" s="39" t="s">
        <v>947</v>
      </c>
      <c r="B499" s="39" t="s">
        <v>1066</v>
      </c>
      <c r="C499" s="36"/>
      <c r="D499" s="30" t="s">
        <v>20</v>
      </c>
      <c r="E499" s="38"/>
      <c r="F499" s="38"/>
      <c r="G499" s="40">
        <v>358091.66</v>
      </c>
      <c r="H499" s="45"/>
      <c r="M499" s="40"/>
    </row>
    <row r="500" spans="1:13" ht="15">
      <c r="A500" s="39" t="s">
        <v>947</v>
      </c>
      <c r="B500" s="39" t="s">
        <v>778</v>
      </c>
      <c r="C500" s="22"/>
      <c r="D500" s="30" t="s">
        <v>21</v>
      </c>
      <c r="E500" s="38"/>
      <c r="F500" s="38"/>
      <c r="G500" s="40">
        <v>1875840.4</v>
      </c>
      <c r="H500" s="45"/>
      <c r="M500" s="40"/>
    </row>
    <row r="501" spans="1:13" ht="15">
      <c r="A501" s="39" t="s">
        <v>22</v>
      </c>
      <c r="B501" s="39" t="s">
        <v>1159</v>
      </c>
      <c r="C501" s="36"/>
      <c r="D501" s="30" t="s">
        <v>23</v>
      </c>
      <c r="E501" s="38"/>
      <c r="F501" s="38"/>
      <c r="G501" s="40">
        <v>55697331.22</v>
      </c>
      <c r="H501" s="45"/>
      <c r="M501" s="40"/>
    </row>
    <row r="502" spans="1:13" ht="15">
      <c r="A502" s="39" t="s">
        <v>22</v>
      </c>
      <c r="B502" s="39" t="s">
        <v>1161</v>
      </c>
      <c r="C502" s="36"/>
      <c r="D502" s="30" t="s">
        <v>24</v>
      </c>
      <c r="E502" s="38"/>
      <c r="F502" s="38"/>
      <c r="G502" s="40">
        <v>3856990.5</v>
      </c>
      <c r="H502" s="45"/>
      <c r="M502" s="40"/>
    </row>
    <row r="503" spans="1:13" ht="15">
      <c r="A503" s="39" t="s">
        <v>22</v>
      </c>
      <c r="B503" s="39" t="s">
        <v>1163</v>
      </c>
      <c r="C503" s="36"/>
      <c r="D503" s="30" t="s">
        <v>25</v>
      </c>
      <c r="E503" s="38"/>
      <c r="F503" s="38"/>
      <c r="G503" s="40">
        <v>630600</v>
      </c>
      <c r="H503" s="45"/>
      <c r="M503" s="40"/>
    </row>
    <row r="504" spans="1:13" ht="15">
      <c r="A504" s="39" t="s">
        <v>22</v>
      </c>
      <c r="B504" s="39" t="s">
        <v>1165</v>
      </c>
      <c r="C504" s="36"/>
      <c r="D504" s="30" t="s">
        <v>26</v>
      </c>
      <c r="E504" s="38"/>
      <c r="F504" s="38"/>
      <c r="G504" s="40">
        <v>2905498</v>
      </c>
      <c r="H504" s="45"/>
      <c r="M504" s="40"/>
    </row>
    <row r="505" spans="1:13" ht="15">
      <c r="A505" s="39" t="s">
        <v>22</v>
      </c>
      <c r="B505" s="39" t="s">
        <v>1167</v>
      </c>
      <c r="C505" s="36"/>
      <c r="D505" s="30" t="s">
        <v>27</v>
      </c>
      <c r="E505" s="38"/>
      <c r="F505" s="38"/>
      <c r="G505" s="40">
        <v>818038.07</v>
      </c>
      <c r="H505" s="45"/>
      <c r="M505" s="40"/>
    </row>
    <row r="506" spans="1:13" ht="15">
      <c r="A506" s="39" t="s">
        <v>22</v>
      </c>
      <c r="B506" s="39" t="s">
        <v>1169</v>
      </c>
      <c r="C506" s="36"/>
      <c r="D506" s="30" t="s">
        <v>28</v>
      </c>
      <c r="E506" s="38"/>
      <c r="F506" s="38"/>
      <c r="G506" s="40">
        <v>37400</v>
      </c>
      <c r="H506" s="45"/>
      <c r="M506" s="40"/>
    </row>
    <row r="507" spans="1:13" ht="15">
      <c r="A507" s="39" t="s">
        <v>22</v>
      </c>
      <c r="B507" s="39" t="s">
        <v>1</v>
      </c>
      <c r="C507" s="22"/>
      <c r="D507" s="30" t="s">
        <v>29</v>
      </c>
      <c r="E507" s="38"/>
      <c r="F507" s="38"/>
      <c r="G507" s="40">
        <v>0</v>
      </c>
      <c r="H507" s="45"/>
      <c r="M507" s="40"/>
    </row>
    <row r="508" spans="1:13" ht="15">
      <c r="A508" s="39" t="s">
        <v>22</v>
      </c>
      <c r="B508" s="39" t="s">
        <v>728</v>
      </c>
      <c r="C508" s="22"/>
      <c r="D508" s="30" t="s">
        <v>30</v>
      </c>
      <c r="E508" s="38"/>
      <c r="F508" s="38"/>
      <c r="G508" s="40">
        <v>0</v>
      </c>
      <c r="H508" s="45"/>
      <c r="M508" s="40"/>
    </row>
    <row r="509" spans="1:13" ht="15">
      <c r="A509" s="39" t="s">
        <v>22</v>
      </c>
      <c r="B509" s="39" t="s">
        <v>2041</v>
      </c>
      <c r="C509" s="22"/>
      <c r="D509" s="30" t="s">
        <v>31</v>
      </c>
      <c r="E509" s="38"/>
      <c r="F509" s="38"/>
      <c r="G509" s="40">
        <v>6734531</v>
      </c>
      <c r="H509" s="45"/>
      <c r="M509" s="40"/>
    </row>
    <row r="510" spans="1:13" ht="15">
      <c r="A510" s="39" t="s">
        <v>22</v>
      </c>
      <c r="B510" s="39" t="s">
        <v>731</v>
      </c>
      <c r="C510" s="36"/>
      <c r="D510" s="30" t="s">
        <v>32</v>
      </c>
      <c r="E510" s="38"/>
      <c r="F510" s="38"/>
      <c r="G510" s="40">
        <v>2500180</v>
      </c>
      <c r="H510" s="45"/>
      <c r="M510" s="40"/>
    </row>
    <row r="511" spans="1:13" ht="15">
      <c r="A511" s="39" t="s">
        <v>22</v>
      </c>
      <c r="B511" s="39" t="s">
        <v>2023</v>
      </c>
      <c r="C511" s="36"/>
      <c r="D511" s="30" t="s">
        <v>33</v>
      </c>
      <c r="E511" s="38"/>
      <c r="F511" s="38"/>
      <c r="G511" s="40">
        <v>0</v>
      </c>
      <c r="H511" s="45"/>
      <c r="M511" s="40"/>
    </row>
    <row r="512" spans="1:13" ht="15">
      <c r="A512" s="39" t="s">
        <v>22</v>
      </c>
      <c r="B512" s="39" t="s">
        <v>2044</v>
      </c>
      <c r="C512" s="22"/>
      <c r="D512" s="30" t="s">
        <v>34</v>
      </c>
      <c r="E512" s="38"/>
      <c r="F512" s="38"/>
      <c r="G512" s="40">
        <v>0</v>
      </c>
      <c r="H512" s="45"/>
      <c r="M512" s="40"/>
    </row>
    <row r="513" spans="1:13" ht="15">
      <c r="A513" s="39" t="s">
        <v>22</v>
      </c>
      <c r="B513" s="39" t="s">
        <v>2018</v>
      </c>
      <c r="C513" s="22"/>
      <c r="D513" s="30" t="s">
        <v>35</v>
      </c>
      <c r="E513" s="38"/>
      <c r="F513" s="38"/>
      <c r="G513" s="40">
        <v>0</v>
      </c>
      <c r="H513" s="45"/>
      <c r="M513" s="40"/>
    </row>
    <row r="514" spans="1:13" ht="15">
      <c r="A514" s="39" t="s">
        <v>22</v>
      </c>
      <c r="B514" s="39" t="s">
        <v>1696</v>
      </c>
      <c r="C514" s="22"/>
      <c r="D514" s="30" t="s">
        <v>36</v>
      </c>
      <c r="E514" s="38"/>
      <c r="F514" s="38"/>
      <c r="G514" s="40">
        <v>140500</v>
      </c>
      <c r="H514" s="45"/>
      <c r="M514" s="40"/>
    </row>
    <row r="515" spans="1:13" ht="15">
      <c r="A515" s="39" t="s">
        <v>22</v>
      </c>
      <c r="B515" s="39" t="s">
        <v>2032</v>
      </c>
      <c r="C515" s="36"/>
      <c r="D515" s="30" t="s">
        <v>37</v>
      </c>
      <c r="E515" s="38"/>
      <c r="F515" s="38"/>
      <c r="G515" s="40">
        <v>4500</v>
      </c>
      <c r="H515" s="45"/>
      <c r="M515" s="40"/>
    </row>
    <row r="516" spans="1:13" ht="15">
      <c r="A516" s="39" t="s">
        <v>22</v>
      </c>
      <c r="B516" s="39" t="s">
        <v>1038</v>
      </c>
      <c r="C516" s="22"/>
      <c r="D516" s="30" t="s">
        <v>38</v>
      </c>
      <c r="E516" s="38"/>
      <c r="F516" s="38"/>
      <c r="G516" s="40">
        <v>0</v>
      </c>
      <c r="H516" s="45"/>
      <c r="M516" s="40"/>
    </row>
    <row r="517" spans="1:13" ht="15">
      <c r="A517" s="39" t="s">
        <v>22</v>
      </c>
      <c r="B517" s="39" t="s">
        <v>1040</v>
      </c>
      <c r="C517" s="36"/>
      <c r="D517" s="30" t="s">
        <v>39</v>
      </c>
      <c r="E517" s="38"/>
      <c r="F517" s="38"/>
      <c r="G517" s="40">
        <v>0</v>
      </c>
      <c r="H517" s="45"/>
      <c r="M517" s="40"/>
    </row>
    <row r="518" spans="1:13" ht="15">
      <c r="A518" s="39" t="s">
        <v>22</v>
      </c>
      <c r="B518" s="39" t="s">
        <v>1042</v>
      </c>
      <c r="C518" s="36"/>
      <c r="D518" s="30" t="s">
        <v>40</v>
      </c>
      <c r="E518" s="38"/>
      <c r="F518" s="38"/>
      <c r="G518" s="40">
        <v>0</v>
      </c>
      <c r="H518" s="45"/>
      <c r="M518" s="40"/>
    </row>
    <row r="519" spans="1:13" ht="15">
      <c r="A519" s="39" t="s">
        <v>22</v>
      </c>
      <c r="B519" s="39" t="s">
        <v>1743</v>
      </c>
      <c r="C519" s="22"/>
      <c r="D519" s="30" t="s">
        <v>169</v>
      </c>
      <c r="E519" s="38"/>
      <c r="F519" s="38"/>
      <c r="G519" s="40">
        <v>0</v>
      </c>
      <c r="H519" s="45"/>
      <c r="M519" s="40"/>
    </row>
    <row r="520" spans="1:13" ht="15">
      <c r="A520" s="39" t="s">
        <v>22</v>
      </c>
      <c r="B520" s="39" t="s">
        <v>1045</v>
      </c>
      <c r="C520" s="22"/>
      <c r="D520" s="30" t="s">
        <v>170</v>
      </c>
      <c r="E520" s="38"/>
      <c r="F520" s="38"/>
      <c r="G520" s="40">
        <v>2708484</v>
      </c>
      <c r="H520" s="45"/>
      <c r="M520" s="40"/>
    </row>
    <row r="521" spans="1:13" ht="15">
      <c r="A521" s="39" t="s">
        <v>22</v>
      </c>
      <c r="B521" s="39" t="s">
        <v>2034</v>
      </c>
      <c r="C521" s="22"/>
      <c r="D521" s="30" t="s">
        <v>171</v>
      </c>
      <c r="E521" s="38"/>
      <c r="F521" s="38"/>
      <c r="G521" s="40">
        <v>1750126</v>
      </c>
      <c r="H521" s="45"/>
      <c r="M521" s="40"/>
    </row>
    <row r="522" spans="1:13" ht="15">
      <c r="A522" s="39" t="s">
        <v>22</v>
      </c>
      <c r="B522" s="39" t="s">
        <v>1048</v>
      </c>
      <c r="C522" s="22"/>
      <c r="D522" s="30" t="s">
        <v>172</v>
      </c>
      <c r="E522" s="38"/>
      <c r="F522" s="38"/>
      <c r="G522" s="40">
        <v>1000072</v>
      </c>
      <c r="H522" s="45"/>
      <c r="M522" s="40"/>
    </row>
    <row r="523" spans="1:13" ht="15">
      <c r="A523" s="39" t="s">
        <v>22</v>
      </c>
      <c r="B523" s="39" t="s">
        <v>1050</v>
      </c>
      <c r="C523" s="22"/>
      <c r="D523" s="30" t="s">
        <v>173</v>
      </c>
      <c r="E523" s="38"/>
      <c r="F523" s="38"/>
      <c r="G523" s="40">
        <v>0</v>
      </c>
      <c r="H523" s="45"/>
      <c r="M523" s="40"/>
    </row>
    <row r="524" spans="1:13" ht="15">
      <c r="A524" s="39" t="s">
        <v>22</v>
      </c>
      <c r="B524" s="39" t="s">
        <v>1052</v>
      </c>
      <c r="C524" s="22"/>
      <c r="D524" s="30" t="s">
        <v>174</v>
      </c>
      <c r="E524" s="38"/>
      <c r="F524" s="38"/>
      <c r="G524" s="40">
        <v>0</v>
      </c>
      <c r="H524" s="45"/>
      <c r="M524" s="40"/>
    </row>
    <row r="525" spans="1:13" ht="15">
      <c r="A525" s="39" t="s">
        <v>22</v>
      </c>
      <c r="B525" s="39" t="s">
        <v>1057</v>
      </c>
      <c r="C525" s="22"/>
      <c r="D525" s="30" t="s">
        <v>175</v>
      </c>
      <c r="E525" s="38"/>
      <c r="F525" s="38"/>
      <c r="G525" s="40">
        <v>8223678.589999999</v>
      </c>
      <c r="H525" s="45"/>
      <c r="M525" s="40"/>
    </row>
    <row r="526" spans="1:13" ht="15">
      <c r="A526" s="39" t="s">
        <v>22</v>
      </c>
      <c r="B526" s="39" t="s">
        <v>1059</v>
      </c>
      <c r="C526" s="22"/>
      <c r="D526" s="30" t="s">
        <v>176</v>
      </c>
      <c r="E526" s="38"/>
      <c r="F526" s="38"/>
      <c r="G526" s="40">
        <v>0</v>
      </c>
      <c r="H526" s="45"/>
      <c r="M526" s="40"/>
    </row>
    <row r="527" spans="1:13" ht="15">
      <c r="A527" s="39" t="s">
        <v>22</v>
      </c>
      <c r="B527" s="39" t="s">
        <v>2036</v>
      </c>
      <c r="C527" s="22"/>
      <c r="D527" s="30" t="s">
        <v>177</v>
      </c>
      <c r="E527" s="38"/>
      <c r="F527" s="38"/>
      <c r="G527" s="40">
        <v>10893952.3</v>
      </c>
      <c r="H527" s="45"/>
      <c r="M527" s="40"/>
    </row>
    <row r="528" spans="1:13" ht="15">
      <c r="A528" s="39" t="s">
        <v>22</v>
      </c>
      <c r="B528" s="39" t="s">
        <v>1062</v>
      </c>
      <c r="C528" s="22"/>
      <c r="D528" s="30" t="s">
        <v>178</v>
      </c>
      <c r="E528" s="38"/>
      <c r="F528" s="38"/>
      <c r="G528" s="40">
        <v>0</v>
      </c>
      <c r="H528" s="45"/>
      <c r="M528" s="40"/>
    </row>
    <row r="529" spans="1:13" ht="15">
      <c r="A529" s="39" t="s">
        <v>22</v>
      </c>
      <c r="B529" s="39" t="s">
        <v>1064</v>
      </c>
      <c r="C529" s="22"/>
      <c r="D529" s="30" t="s">
        <v>179</v>
      </c>
      <c r="E529" s="38"/>
      <c r="F529" s="38"/>
      <c r="G529" s="40">
        <v>5992595</v>
      </c>
      <c r="H529" s="45"/>
      <c r="M529" s="40"/>
    </row>
    <row r="530" spans="1:13" ht="15">
      <c r="A530" s="39" t="s">
        <v>22</v>
      </c>
      <c r="B530" s="39" t="s">
        <v>1066</v>
      </c>
      <c r="C530" s="36"/>
      <c r="D530" s="30" t="s">
        <v>470</v>
      </c>
      <c r="E530" s="38"/>
      <c r="F530" s="38"/>
      <c r="G530" s="40">
        <v>0</v>
      </c>
      <c r="H530" s="45"/>
      <c r="M530" s="40"/>
    </row>
    <row r="531" spans="1:13" ht="15">
      <c r="A531" s="39" t="s">
        <v>22</v>
      </c>
      <c r="B531" s="39" t="s">
        <v>778</v>
      </c>
      <c r="C531" s="22"/>
      <c r="D531" s="30" t="s">
        <v>471</v>
      </c>
      <c r="E531" s="38"/>
      <c r="F531" s="38"/>
      <c r="G531" s="40">
        <v>502060</v>
      </c>
      <c r="H531" s="45"/>
      <c r="M531" s="40"/>
    </row>
    <row r="532" spans="1:13" ht="15">
      <c r="A532" s="39" t="s">
        <v>472</v>
      </c>
      <c r="B532" s="39" t="s">
        <v>1159</v>
      </c>
      <c r="C532" s="22"/>
      <c r="D532" s="30" t="s">
        <v>473</v>
      </c>
      <c r="E532" s="38"/>
      <c r="F532" s="38"/>
      <c r="G532" s="54">
        <v>0</v>
      </c>
      <c r="H532" s="45"/>
      <c r="M532" s="42"/>
    </row>
    <row r="533" spans="1:8" ht="15">
      <c r="A533" s="39" t="s">
        <v>474</v>
      </c>
      <c r="B533" s="39" t="s">
        <v>1062</v>
      </c>
      <c r="C533" s="22"/>
      <c r="D533" s="30" t="s">
        <v>475</v>
      </c>
      <c r="E533" s="38"/>
      <c r="F533" s="38"/>
      <c r="G533" s="40">
        <v>1634400</v>
      </c>
      <c r="H533" s="45"/>
    </row>
    <row r="534" spans="1:8" ht="15">
      <c r="A534" s="39" t="s">
        <v>476</v>
      </c>
      <c r="B534" s="39" t="s">
        <v>1057</v>
      </c>
      <c r="C534" s="22"/>
      <c r="D534" s="30" t="s">
        <v>477</v>
      </c>
      <c r="E534" s="38"/>
      <c r="F534" s="38"/>
      <c r="G534" s="40">
        <v>316355250</v>
      </c>
      <c r="H534" s="45"/>
    </row>
    <row r="535" spans="1:8" ht="15">
      <c r="A535" s="39" t="s">
        <v>478</v>
      </c>
      <c r="B535" s="39" t="s">
        <v>1159</v>
      </c>
      <c r="C535" s="22"/>
      <c r="D535" s="30" t="s">
        <v>479</v>
      </c>
      <c r="E535" s="38"/>
      <c r="F535" s="38"/>
      <c r="G535" s="51">
        <v>0</v>
      </c>
      <c r="H535" s="45"/>
    </row>
    <row r="536" spans="1:8" ht="15">
      <c r="A536" s="39" t="s">
        <v>480</v>
      </c>
      <c r="B536" s="39" t="s">
        <v>1057</v>
      </c>
      <c r="C536" s="36"/>
      <c r="D536" s="30" t="s">
        <v>481</v>
      </c>
      <c r="E536" s="38"/>
      <c r="F536" s="38"/>
      <c r="G536" s="40">
        <v>26429476</v>
      </c>
      <c r="H536" s="45"/>
    </row>
    <row r="537" spans="1:8" ht="15">
      <c r="A537" s="39" t="s">
        <v>482</v>
      </c>
      <c r="B537" s="39" t="s">
        <v>1057</v>
      </c>
      <c r="C537" s="22"/>
      <c r="D537" s="30" t="s">
        <v>483</v>
      </c>
      <c r="E537" s="38"/>
      <c r="F537" s="38"/>
      <c r="G537" s="40">
        <v>499090606</v>
      </c>
      <c r="H537" s="45"/>
    </row>
    <row r="538" spans="1:8" ht="15">
      <c r="A538" s="39" t="s">
        <v>484</v>
      </c>
      <c r="B538" s="39" t="s">
        <v>1161</v>
      </c>
      <c r="C538" s="22"/>
      <c r="D538" s="30" t="s">
        <v>485</v>
      </c>
      <c r="E538" s="38"/>
      <c r="F538" s="38"/>
      <c r="G538" s="40">
        <v>1895010</v>
      </c>
      <c r="H538" s="45"/>
    </row>
    <row r="539" spans="1:13" ht="15">
      <c r="A539" s="39" t="s">
        <v>486</v>
      </c>
      <c r="B539" s="39" t="s">
        <v>1159</v>
      </c>
      <c r="C539" s="22"/>
      <c r="D539" s="30" t="s">
        <v>487</v>
      </c>
      <c r="E539" s="38"/>
      <c r="F539" s="38"/>
      <c r="G539" s="40">
        <v>4295575</v>
      </c>
      <c r="H539" s="45"/>
      <c r="M539" s="40"/>
    </row>
    <row r="540" spans="1:13" ht="15">
      <c r="A540" s="39" t="s">
        <v>486</v>
      </c>
      <c r="B540" s="39" t="s">
        <v>841</v>
      </c>
      <c r="C540" s="22"/>
      <c r="D540" s="30" t="s">
        <v>488</v>
      </c>
      <c r="E540" s="38"/>
      <c r="F540" s="38"/>
      <c r="G540" s="40">
        <v>86928550.75999999</v>
      </c>
      <c r="H540" s="45"/>
      <c r="M540" s="40"/>
    </row>
    <row r="541" spans="1:13" ht="15">
      <c r="A541" s="39" t="s">
        <v>486</v>
      </c>
      <c r="B541" s="39" t="s">
        <v>1064</v>
      </c>
      <c r="C541" s="22"/>
      <c r="D541" s="30" t="s">
        <v>489</v>
      </c>
      <c r="E541" s="38"/>
      <c r="F541" s="38"/>
      <c r="G541" s="40">
        <v>2992100</v>
      </c>
      <c r="H541" s="45"/>
      <c r="M541" s="40"/>
    </row>
    <row r="542" spans="1:13" ht="15">
      <c r="A542" s="39" t="s">
        <v>486</v>
      </c>
      <c r="B542" s="39" t="s">
        <v>778</v>
      </c>
      <c r="C542" s="22"/>
      <c r="D542" s="30" t="s">
        <v>490</v>
      </c>
      <c r="E542" s="38"/>
      <c r="F542" s="38"/>
      <c r="G542" s="40">
        <v>3829000</v>
      </c>
      <c r="H542" s="45"/>
      <c r="M542" s="40"/>
    </row>
    <row r="543" spans="1:13" ht="15">
      <c r="A543" s="39" t="s">
        <v>491</v>
      </c>
      <c r="B543" s="39" t="s">
        <v>1161</v>
      </c>
      <c r="C543" s="22"/>
      <c r="D543" s="30" t="s">
        <v>492</v>
      </c>
      <c r="E543" s="38"/>
      <c r="F543" s="38"/>
      <c r="G543" s="40">
        <v>242655115</v>
      </c>
      <c r="H543" s="45"/>
      <c r="M543" s="42"/>
    </row>
    <row r="544" spans="1:8" ht="15">
      <c r="A544" s="39" t="s">
        <v>493</v>
      </c>
      <c r="B544" s="39" t="s">
        <v>1159</v>
      </c>
      <c r="C544" s="22"/>
      <c r="D544" s="30" t="s">
        <v>56</v>
      </c>
      <c r="E544" s="38"/>
      <c r="F544" s="38"/>
      <c r="G544" s="40">
        <v>3060000</v>
      </c>
      <c r="H544" s="45"/>
    </row>
    <row r="545" spans="1:8" ht="15">
      <c r="A545" s="39" t="s">
        <v>57</v>
      </c>
      <c r="B545" s="39" t="s">
        <v>1161</v>
      </c>
      <c r="C545" s="22"/>
      <c r="D545" s="30" t="s">
        <v>707</v>
      </c>
      <c r="E545" s="38"/>
      <c r="F545" s="38"/>
      <c r="G545" s="40">
        <v>28659119</v>
      </c>
      <c r="H545" s="45"/>
    </row>
    <row r="546" spans="1:8" ht="15">
      <c r="A546" s="39" t="s">
        <v>708</v>
      </c>
      <c r="B546" s="39" t="s">
        <v>1159</v>
      </c>
      <c r="C546" s="22"/>
      <c r="D546" s="30" t="s">
        <v>709</v>
      </c>
      <c r="E546" s="38"/>
      <c r="F546" s="38"/>
      <c r="G546" s="40">
        <f>45669786.16+200000</f>
        <v>45869786.16</v>
      </c>
      <c r="H546" s="45"/>
    </row>
    <row r="547" spans="1:8" ht="15">
      <c r="A547" s="39" t="s">
        <v>708</v>
      </c>
      <c r="B547" s="39" t="s">
        <v>1402</v>
      </c>
      <c r="C547" s="22"/>
      <c r="D547" s="30" t="s">
        <v>710</v>
      </c>
      <c r="E547" s="38"/>
      <c r="F547" s="38"/>
      <c r="G547" s="51">
        <v>0</v>
      </c>
      <c r="H547" s="45"/>
    </row>
    <row r="548" spans="1:8" ht="15">
      <c r="A548" s="39" t="s">
        <v>708</v>
      </c>
      <c r="B548" s="39" t="s">
        <v>1057</v>
      </c>
      <c r="C548" s="22"/>
      <c r="D548" s="30" t="s">
        <v>711</v>
      </c>
      <c r="E548" s="38"/>
      <c r="F548" s="38"/>
      <c r="G548" s="40">
        <v>36000</v>
      </c>
      <c r="H548" s="45"/>
    </row>
    <row r="549" spans="1:8" ht="15">
      <c r="A549" s="39" t="s">
        <v>712</v>
      </c>
      <c r="B549" s="55" t="s">
        <v>1064</v>
      </c>
      <c r="C549" s="22"/>
      <c r="D549" s="49" t="s">
        <v>713</v>
      </c>
      <c r="E549" s="38"/>
      <c r="F549" s="38"/>
      <c r="G549" s="40">
        <v>7580141</v>
      </c>
      <c r="H549" s="45"/>
    </row>
    <row r="550" spans="1:13" ht="15">
      <c r="A550" s="39" t="s">
        <v>714</v>
      </c>
      <c r="B550" s="39" t="s">
        <v>1159</v>
      </c>
      <c r="C550" s="22"/>
      <c r="D550" s="30" t="s">
        <v>715</v>
      </c>
      <c r="E550" s="38"/>
      <c r="F550" s="38"/>
      <c r="G550" s="40">
        <v>220067298.5</v>
      </c>
      <c r="H550" s="45"/>
      <c r="M550" s="40"/>
    </row>
    <row r="551" spans="1:13" ht="15">
      <c r="A551" s="39" t="s">
        <v>714</v>
      </c>
      <c r="B551" s="39" t="s">
        <v>1064</v>
      </c>
      <c r="C551" s="36"/>
      <c r="D551" s="30" t="s">
        <v>716</v>
      </c>
      <c r="E551" s="38"/>
      <c r="F551" s="38"/>
      <c r="G551" s="40">
        <v>38210740</v>
      </c>
      <c r="H551" s="45"/>
      <c r="M551" s="40"/>
    </row>
    <row r="552" spans="1:13" ht="15">
      <c r="A552" s="39" t="s">
        <v>717</v>
      </c>
      <c r="B552" s="39" t="s">
        <v>1159</v>
      </c>
      <c r="C552" s="22"/>
      <c r="D552" s="30" t="s">
        <v>718</v>
      </c>
      <c r="E552" s="38"/>
      <c r="F552" s="38"/>
      <c r="G552" s="46">
        <v>0</v>
      </c>
      <c r="H552" s="45"/>
      <c r="M552" s="42"/>
    </row>
    <row r="553" spans="1:8" ht="15">
      <c r="A553" s="39" t="s">
        <v>65</v>
      </c>
      <c r="B553" s="39" t="s">
        <v>1402</v>
      </c>
      <c r="C553" s="22"/>
      <c r="D553" s="30" t="s">
        <v>66</v>
      </c>
      <c r="E553" s="38"/>
      <c r="F553" s="38"/>
      <c r="G553" s="46">
        <v>0</v>
      </c>
      <c r="H553" s="45"/>
    </row>
    <row r="554" spans="1:8" ht="15">
      <c r="A554" s="39" t="s">
        <v>67</v>
      </c>
      <c r="B554" s="55" t="s">
        <v>1159</v>
      </c>
      <c r="C554" s="22"/>
      <c r="D554" s="36" t="s">
        <v>68</v>
      </c>
      <c r="E554" s="38"/>
      <c r="F554" s="38"/>
      <c r="G554" s="40">
        <v>72129916</v>
      </c>
      <c r="H554" s="45"/>
    </row>
    <row r="555" spans="1:8" ht="15">
      <c r="A555" s="39" t="s">
        <v>69</v>
      </c>
      <c r="B555" s="39" t="s">
        <v>70</v>
      </c>
      <c r="C555" s="22"/>
      <c r="D555" s="30" t="s">
        <v>701</v>
      </c>
      <c r="E555" s="38"/>
      <c r="F555" s="38"/>
      <c r="G555" s="51">
        <v>0</v>
      </c>
      <c r="H555" s="45"/>
    </row>
    <row r="556" spans="1:8" ht="15">
      <c r="A556" s="39" t="s">
        <v>702</v>
      </c>
      <c r="B556" s="39" t="s">
        <v>1064</v>
      </c>
      <c r="C556" s="22"/>
      <c r="D556" s="30" t="s">
        <v>703</v>
      </c>
      <c r="E556" s="38"/>
      <c r="F556" s="38"/>
      <c r="G556" s="40">
        <v>30460815</v>
      </c>
      <c r="H556" s="45"/>
    </row>
    <row r="557" spans="1:8" ht="15">
      <c r="A557" s="39" t="s">
        <v>704</v>
      </c>
      <c r="B557" s="39" t="s">
        <v>1159</v>
      </c>
      <c r="C557" s="36"/>
      <c r="D557" s="30" t="s">
        <v>589</v>
      </c>
      <c r="E557" s="38"/>
      <c r="F557" s="38"/>
      <c r="G557" s="40">
        <v>1952213407</v>
      </c>
      <c r="H557" s="45"/>
    </row>
    <row r="558" spans="1:8" ht="15">
      <c r="A558" s="39" t="s">
        <v>590</v>
      </c>
      <c r="B558" s="39" t="s">
        <v>1159</v>
      </c>
      <c r="C558" s="22"/>
      <c r="D558" s="30" t="s">
        <v>591</v>
      </c>
      <c r="E558" s="38"/>
      <c r="F558" s="38"/>
      <c r="G558" s="40">
        <v>22948980.169999994</v>
      </c>
      <c r="H558" s="45"/>
    </row>
    <row r="559" spans="1:8" ht="15">
      <c r="A559" s="39" t="s">
        <v>590</v>
      </c>
      <c r="B559" s="39" t="s">
        <v>1057</v>
      </c>
      <c r="C559" s="22"/>
      <c r="D559" s="30" t="s">
        <v>592</v>
      </c>
      <c r="E559" s="38"/>
      <c r="F559" s="38"/>
      <c r="G559" s="40">
        <v>262933</v>
      </c>
      <c r="H559" s="45"/>
    </row>
    <row r="560" spans="1:8" ht="15">
      <c r="A560" s="39" t="s">
        <v>593</v>
      </c>
      <c r="B560" s="39" t="s">
        <v>1064</v>
      </c>
      <c r="C560" s="22"/>
      <c r="D560" s="30" t="s">
        <v>594</v>
      </c>
      <c r="E560" s="38"/>
      <c r="F560" s="38"/>
      <c r="G560" s="40">
        <v>7975000</v>
      </c>
      <c r="H560" s="45"/>
    </row>
    <row r="561" spans="1:13" ht="15">
      <c r="A561" s="39" t="s">
        <v>595</v>
      </c>
      <c r="B561" s="39" t="s">
        <v>1059</v>
      </c>
      <c r="C561" s="22"/>
      <c r="D561" s="30" t="s">
        <v>596</v>
      </c>
      <c r="E561" s="38"/>
      <c r="F561" s="46"/>
      <c r="G561" s="40">
        <v>1107032018.67</v>
      </c>
      <c r="H561" s="45"/>
      <c r="M561" s="40"/>
    </row>
    <row r="562" spans="1:13" ht="15">
      <c r="A562" s="39" t="s">
        <v>595</v>
      </c>
      <c r="B562" s="39" t="s">
        <v>2036</v>
      </c>
      <c r="C562" s="22"/>
      <c r="D562" s="30" t="s">
        <v>597</v>
      </c>
      <c r="E562" s="38"/>
      <c r="F562" s="46"/>
      <c r="G562" s="40">
        <v>716541250.7599999</v>
      </c>
      <c r="H562" s="45"/>
      <c r="M562" s="40"/>
    </row>
    <row r="563" spans="1:13" ht="15">
      <c r="A563" s="39" t="s">
        <v>598</v>
      </c>
      <c r="B563" s="39" t="s">
        <v>1167</v>
      </c>
      <c r="C563" s="22"/>
      <c r="D563" s="30" t="s">
        <v>1235</v>
      </c>
      <c r="E563" s="38"/>
      <c r="F563" s="45"/>
      <c r="G563" s="54">
        <v>0</v>
      </c>
      <c r="H563" s="45"/>
      <c r="M563" s="42"/>
    </row>
    <row r="564" spans="1:8" ht="15">
      <c r="A564" s="39" t="s">
        <v>1236</v>
      </c>
      <c r="B564" s="39" t="s">
        <v>1167</v>
      </c>
      <c r="C564" s="22"/>
      <c r="D564" s="30" t="s">
        <v>1237</v>
      </c>
      <c r="E564" s="38"/>
      <c r="F564" s="38"/>
      <c r="G564" s="40">
        <v>17095761</v>
      </c>
      <c r="H564" s="45"/>
    </row>
    <row r="565" spans="1:8" ht="15">
      <c r="A565" s="39" t="s">
        <v>1238</v>
      </c>
      <c r="B565" s="39" t="s">
        <v>1161</v>
      </c>
      <c r="C565" s="22"/>
      <c r="D565" s="30" t="s">
        <v>1239</v>
      </c>
      <c r="E565" s="38"/>
      <c r="F565" s="38"/>
      <c r="G565" s="40">
        <v>11666865</v>
      </c>
      <c r="H565" s="45"/>
    </row>
    <row r="566" spans="1:8" ht="15">
      <c r="A566" s="39" t="s">
        <v>1238</v>
      </c>
      <c r="B566" s="39" t="s">
        <v>1057</v>
      </c>
      <c r="C566" s="22"/>
      <c r="D566" s="30" t="s">
        <v>1239</v>
      </c>
      <c r="E566" s="38"/>
      <c r="F566" s="38"/>
      <c r="G566" s="40">
        <v>238775127</v>
      </c>
      <c r="H566" s="45"/>
    </row>
    <row r="567" spans="1:8" ht="15">
      <c r="A567" s="39" t="s">
        <v>1240</v>
      </c>
      <c r="B567" s="39" t="s">
        <v>1241</v>
      </c>
      <c r="C567" s="36"/>
      <c r="D567" s="30" t="s">
        <v>1242</v>
      </c>
      <c r="E567" s="38"/>
      <c r="F567" s="38"/>
      <c r="G567" s="51">
        <v>0</v>
      </c>
      <c r="H567" s="45"/>
    </row>
    <row r="568" spans="1:8" ht="15">
      <c r="A568" s="39" t="s">
        <v>1243</v>
      </c>
      <c r="B568" s="39" t="s">
        <v>1159</v>
      </c>
      <c r="C568" s="36"/>
      <c r="D568" s="30" t="s">
        <v>1244</v>
      </c>
      <c r="E568" s="38"/>
      <c r="F568" s="38"/>
      <c r="G568" s="40">
        <v>212576479</v>
      </c>
      <c r="H568" s="45"/>
    </row>
    <row r="569" spans="1:8" ht="15">
      <c r="A569" s="39" t="s">
        <v>1245</v>
      </c>
      <c r="B569" s="39" t="s">
        <v>1159</v>
      </c>
      <c r="C569" s="36"/>
      <c r="D569" s="56" t="s">
        <v>1246</v>
      </c>
      <c r="E569" s="38"/>
      <c r="F569" s="38"/>
      <c r="G569" s="40">
        <v>73490000</v>
      </c>
      <c r="H569" s="45"/>
    </row>
    <row r="570" spans="1:13" ht="15">
      <c r="A570" s="39" t="s">
        <v>1247</v>
      </c>
      <c r="B570" s="39" t="s">
        <v>1696</v>
      </c>
      <c r="C570" s="22"/>
      <c r="D570" s="30" t="s">
        <v>1248</v>
      </c>
      <c r="E570" s="38"/>
      <c r="F570" s="38"/>
      <c r="G570" s="40">
        <v>36992752.79</v>
      </c>
      <c r="H570" s="45"/>
      <c r="M570" s="40"/>
    </row>
    <row r="571" spans="1:13" ht="15">
      <c r="A571" s="39" t="s">
        <v>1247</v>
      </c>
      <c r="B571" s="39" t="s">
        <v>2036</v>
      </c>
      <c r="C571" s="22"/>
      <c r="D571" s="30" t="s">
        <v>1249</v>
      </c>
      <c r="E571" s="38"/>
      <c r="F571" s="38"/>
      <c r="G571" s="40">
        <v>30890257</v>
      </c>
      <c r="H571" s="45"/>
      <c r="M571" s="40"/>
    </row>
    <row r="572" spans="1:13" ht="15">
      <c r="A572" s="39" t="s">
        <v>1247</v>
      </c>
      <c r="B572" s="39" t="s">
        <v>778</v>
      </c>
      <c r="C572" s="22"/>
      <c r="D572" s="30" t="s">
        <v>1250</v>
      </c>
      <c r="E572" s="38"/>
      <c r="F572" s="38"/>
      <c r="G572" s="40">
        <v>45096189.66</v>
      </c>
      <c r="H572" s="45"/>
      <c r="M572" s="40"/>
    </row>
    <row r="573" spans="1:13" ht="15">
      <c r="A573" s="39" t="s">
        <v>1251</v>
      </c>
      <c r="B573" s="39" t="s">
        <v>778</v>
      </c>
      <c r="C573" s="22"/>
      <c r="D573" s="30" t="s">
        <v>1252</v>
      </c>
      <c r="E573" s="38"/>
      <c r="F573" s="38"/>
      <c r="G573" s="40">
        <v>4078032</v>
      </c>
      <c r="H573" s="45"/>
      <c r="M573" s="42"/>
    </row>
    <row r="574" spans="1:8" ht="15">
      <c r="A574" s="39" t="s">
        <v>1253</v>
      </c>
      <c r="B574" s="39" t="s">
        <v>778</v>
      </c>
      <c r="C574" s="22"/>
      <c r="D574" s="30" t="s">
        <v>1254</v>
      </c>
      <c r="E574" s="38"/>
      <c r="F574" s="38"/>
      <c r="G574" s="40">
        <v>1225</v>
      </c>
      <c r="H574" s="45"/>
    </row>
    <row r="575" spans="1:8" ht="15">
      <c r="A575" s="39" t="s">
        <v>1255</v>
      </c>
      <c r="B575" s="39" t="s">
        <v>1167</v>
      </c>
      <c r="C575" s="22"/>
      <c r="D575" s="30" t="s">
        <v>1549</v>
      </c>
      <c r="E575" s="38"/>
      <c r="F575" s="38"/>
      <c r="G575" s="40">
        <v>36148135</v>
      </c>
      <c r="H575" s="45"/>
    </row>
    <row r="576" spans="1:8" ht="15">
      <c r="A576" s="39" t="s">
        <v>1550</v>
      </c>
      <c r="B576" s="39" t="s">
        <v>1167</v>
      </c>
      <c r="C576" s="22"/>
      <c r="D576" s="30" t="s">
        <v>1551</v>
      </c>
      <c r="E576" s="38"/>
      <c r="F576" s="38"/>
      <c r="G576" s="40">
        <v>8877811</v>
      </c>
      <c r="H576" s="45"/>
    </row>
    <row r="577" spans="1:8" ht="15">
      <c r="A577" s="39" t="s">
        <v>1552</v>
      </c>
      <c r="B577" s="39" t="s">
        <v>1167</v>
      </c>
      <c r="C577" s="22"/>
      <c r="D577" s="30" t="s">
        <v>1553</v>
      </c>
      <c r="E577" s="38"/>
      <c r="F577" s="38"/>
      <c r="G577" s="40">
        <v>50052423</v>
      </c>
      <c r="H577" s="45"/>
    </row>
    <row r="578" spans="1:13" ht="15">
      <c r="A578" s="39" t="s">
        <v>1554</v>
      </c>
      <c r="B578" s="39" t="s">
        <v>1159</v>
      </c>
      <c r="C578" s="22"/>
      <c r="D578" s="30" t="s">
        <v>1555</v>
      </c>
      <c r="E578" s="38"/>
      <c r="F578" s="38"/>
      <c r="G578" s="40">
        <v>2112342.76</v>
      </c>
      <c r="H578" s="45"/>
      <c r="M578" s="40"/>
    </row>
    <row r="579" spans="1:13" ht="15">
      <c r="A579" s="39" t="s">
        <v>1554</v>
      </c>
      <c r="B579" s="39" t="s">
        <v>70</v>
      </c>
      <c r="C579" s="22"/>
      <c r="D579" s="30" t="s">
        <v>1556</v>
      </c>
      <c r="E579" s="38"/>
      <c r="F579" s="38"/>
      <c r="G579" s="40">
        <v>0</v>
      </c>
      <c r="H579" s="45"/>
      <c r="M579" s="40"/>
    </row>
    <row r="580" spans="1:13" ht="15">
      <c r="A580" s="39" t="s">
        <v>1554</v>
      </c>
      <c r="B580" s="39" t="s">
        <v>1161</v>
      </c>
      <c r="C580" s="22"/>
      <c r="D580" s="30" t="s">
        <v>1557</v>
      </c>
      <c r="E580" s="38"/>
      <c r="F580" s="38"/>
      <c r="G580" s="40">
        <v>3232906.29</v>
      </c>
      <c r="H580" s="45"/>
      <c r="M580" s="40"/>
    </row>
    <row r="581" spans="1:13" ht="15">
      <c r="A581" s="39" t="s">
        <v>1554</v>
      </c>
      <c r="B581" s="39" t="s">
        <v>1167</v>
      </c>
      <c r="C581" s="22"/>
      <c r="D581" s="30" t="s">
        <v>1558</v>
      </c>
      <c r="E581" s="38"/>
      <c r="F581" s="38"/>
      <c r="G581" s="40">
        <v>9910091.99</v>
      </c>
      <c r="H581" s="45"/>
      <c r="M581" s="40"/>
    </row>
    <row r="582" spans="1:13" ht="15">
      <c r="A582" s="39" t="s">
        <v>1554</v>
      </c>
      <c r="B582" s="39" t="s">
        <v>841</v>
      </c>
      <c r="C582" s="22"/>
      <c r="D582" s="30" t="s">
        <v>1559</v>
      </c>
      <c r="E582" s="38"/>
      <c r="F582" s="38"/>
      <c r="G582" s="40">
        <v>7499315.91</v>
      </c>
      <c r="H582" s="45"/>
      <c r="M582" s="40"/>
    </row>
    <row r="583" spans="1:13" ht="15">
      <c r="A583" s="39" t="s">
        <v>1554</v>
      </c>
      <c r="B583" s="39" t="s">
        <v>2041</v>
      </c>
      <c r="C583" s="22"/>
      <c r="D583" s="30" t="s">
        <v>1560</v>
      </c>
      <c r="E583" s="38"/>
      <c r="F583" s="38"/>
      <c r="G583" s="40">
        <v>99749131.59</v>
      </c>
      <c r="H583" s="45"/>
      <c r="M583" s="40"/>
    </row>
    <row r="584" spans="1:13" ht="15">
      <c r="A584" s="39" t="s">
        <v>1554</v>
      </c>
      <c r="B584" s="39" t="s">
        <v>1040</v>
      </c>
      <c r="C584" s="22"/>
      <c r="D584" s="30" t="s">
        <v>1561</v>
      </c>
      <c r="E584" s="38"/>
      <c r="F584" s="32"/>
      <c r="G584" s="40">
        <v>67567186</v>
      </c>
      <c r="H584" s="45"/>
      <c r="M584" s="40"/>
    </row>
    <row r="585" spans="1:13" ht="15">
      <c r="A585" s="39" t="s">
        <v>1554</v>
      </c>
      <c r="B585" s="39" t="s">
        <v>1042</v>
      </c>
      <c r="C585" s="22"/>
      <c r="D585" s="30" t="s">
        <v>1631</v>
      </c>
      <c r="E585" s="38"/>
      <c r="F585" s="32"/>
      <c r="G585" s="40">
        <v>73046663.17999999</v>
      </c>
      <c r="H585" s="45"/>
      <c r="M585" s="40"/>
    </row>
    <row r="586" spans="1:13" ht="15">
      <c r="A586" s="39" t="s">
        <v>1554</v>
      </c>
      <c r="B586" s="39" t="s">
        <v>1743</v>
      </c>
      <c r="C586" s="22"/>
      <c r="D586" s="30" t="s">
        <v>1632</v>
      </c>
      <c r="E586" s="38"/>
      <c r="F586" s="32"/>
      <c r="G586" s="40">
        <v>8663030.26</v>
      </c>
      <c r="H586" s="45"/>
      <c r="M586" s="40"/>
    </row>
    <row r="587" spans="1:13" ht="15">
      <c r="A587" s="39" t="s">
        <v>1554</v>
      </c>
      <c r="B587" s="39" t="s">
        <v>1045</v>
      </c>
      <c r="C587" s="22"/>
      <c r="D587" s="30" t="s">
        <v>1633</v>
      </c>
      <c r="E587" s="38"/>
      <c r="F587" s="32"/>
      <c r="G587" s="40">
        <v>24143804.85</v>
      </c>
      <c r="H587" s="45"/>
      <c r="M587" s="40"/>
    </row>
    <row r="588" spans="1:13" ht="15">
      <c r="A588" s="39" t="s">
        <v>1554</v>
      </c>
      <c r="B588" s="39" t="s">
        <v>2034</v>
      </c>
      <c r="C588" s="22"/>
      <c r="D588" s="30" t="s">
        <v>1634</v>
      </c>
      <c r="E588" s="38"/>
      <c r="F588" s="32"/>
      <c r="G588" s="40">
        <v>111753136.72</v>
      </c>
      <c r="H588" s="45"/>
      <c r="M588" s="40"/>
    </row>
    <row r="589" spans="1:13" ht="15">
      <c r="A589" s="39" t="s">
        <v>1554</v>
      </c>
      <c r="B589" s="39" t="s">
        <v>1052</v>
      </c>
      <c r="C589" s="22"/>
      <c r="D589" s="30" t="s">
        <v>1635</v>
      </c>
      <c r="E589" s="38"/>
      <c r="F589" s="32"/>
      <c r="G589" s="40">
        <v>535000</v>
      </c>
      <c r="H589" s="45"/>
      <c r="M589" s="40"/>
    </row>
    <row r="590" spans="1:13" ht="15">
      <c r="A590" s="39" t="s">
        <v>1554</v>
      </c>
      <c r="B590" s="39" t="s">
        <v>1057</v>
      </c>
      <c r="C590" s="22"/>
      <c r="D590" s="30" t="s">
        <v>1636</v>
      </c>
      <c r="E590" s="38"/>
      <c r="F590" s="32"/>
      <c r="G590" s="40">
        <v>454000</v>
      </c>
      <c r="H590" s="45"/>
      <c r="M590" s="40"/>
    </row>
    <row r="591" spans="1:13" ht="15">
      <c r="A591" s="39" t="s">
        <v>1554</v>
      </c>
      <c r="B591" s="39" t="s">
        <v>1059</v>
      </c>
      <c r="C591" s="22"/>
      <c r="D591" s="30" t="s">
        <v>1637</v>
      </c>
      <c r="E591" s="38"/>
      <c r="F591" s="38"/>
      <c r="G591" s="40">
        <v>1231004.45</v>
      </c>
      <c r="H591" s="45"/>
      <c r="M591" s="40"/>
    </row>
    <row r="592" spans="1:13" ht="15">
      <c r="A592" s="39" t="s">
        <v>1554</v>
      </c>
      <c r="B592" s="39" t="s">
        <v>2036</v>
      </c>
      <c r="C592" s="22"/>
      <c r="D592" s="30" t="s">
        <v>1638</v>
      </c>
      <c r="E592" s="38"/>
      <c r="F592" s="38"/>
      <c r="G592" s="40">
        <v>1760118.57</v>
      </c>
      <c r="H592" s="45"/>
      <c r="M592" s="40"/>
    </row>
    <row r="593" spans="1:13" ht="15">
      <c r="A593" s="39" t="s">
        <v>1554</v>
      </c>
      <c r="B593" s="55" t="s">
        <v>1064</v>
      </c>
      <c r="C593" s="22"/>
      <c r="D593" s="30" t="s">
        <v>1639</v>
      </c>
      <c r="E593" s="38"/>
      <c r="F593" s="38"/>
      <c r="G593" s="40">
        <v>9920006.7</v>
      </c>
      <c r="H593" s="45"/>
      <c r="M593" s="40"/>
    </row>
    <row r="594" spans="1:13" ht="15">
      <c r="A594" s="39" t="s">
        <v>1554</v>
      </c>
      <c r="B594" s="55" t="s">
        <v>1066</v>
      </c>
      <c r="C594" s="22"/>
      <c r="D594" s="30" t="s">
        <v>1315</v>
      </c>
      <c r="E594" s="38"/>
      <c r="F594" s="38"/>
      <c r="G594" s="40">
        <v>197843.88</v>
      </c>
      <c r="H594" s="45"/>
      <c r="M594" s="40"/>
    </row>
    <row r="595" spans="1:13" ht="15">
      <c r="A595" s="39" t="s">
        <v>1316</v>
      </c>
      <c r="B595" s="39" t="s">
        <v>1042</v>
      </c>
      <c r="C595" s="22"/>
      <c r="D595" s="30" t="s">
        <v>1317</v>
      </c>
      <c r="E595" s="38"/>
      <c r="F595" s="38"/>
      <c r="G595" s="40">
        <v>32605341</v>
      </c>
      <c r="H595" s="45"/>
      <c r="M595" s="42"/>
    </row>
    <row r="596" spans="1:13" ht="15">
      <c r="A596" s="39" t="s">
        <v>1318</v>
      </c>
      <c r="B596" s="39" t="s">
        <v>2023</v>
      </c>
      <c r="C596" s="22"/>
      <c r="D596" s="30" t="s">
        <v>1319</v>
      </c>
      <c r="E596" s="46"/>
      <c r="F596" s="38"/>
      <c r="G596" s="40">
        <v>161670760.22999993</v>
      </c>
      <c r="H596" s="45"/>
      <c r="M596" s="40"/>
    </row>
    <row r="597" spans="1:13" ht="15">
      <c r="A597" s="39" t="s">
        <v>1318</v>
      </c>
      <c r="B597" s="39" t="s">
        <v>2044</v>
      </c>
      <c r="C597" s="22"/>
      <c r="D597" s="30" t="s">
        <v>1320</v>
      </c>
      <c r="E597" s="46"/>
      <c r="F597" s="38"/>
      <c r="G597" s="40">
        <v>262756513.1</v>
      </c>
      <c r="H597" s="45"/>
      <c r="M597" s="40"/>
    </row>
    <row r="598" spans="1:13" ht="15">
      <c r="A598" s="39" t="s">
        <v>1318</v>
      </c>
      <c r="B598" s="39" t="s">
        <v>2018</v>
      </c>
      <c r="C598" s="22"/>
      <c r="D598" s="30" t="s">
        <v>1321</v>
      </c>
      <c r="E598" s="46"/>
      <c r="F598" s="38"/>
      <c r="G598" s="40">
        <v>590687175.22</v>
      </c>
      <c r="H598" s="45"/>
      <c r="M598" s="40"/>
    </row>
    <row r="599" spans="1:13" ht="15">
      <c r="A599" s="39" t="s">
        <v>1318</v>
      </c>
      <c r="B599" s="39" t="s">
        <v>1696</v>
      </c>
      <c r="C599" s="22"/>
      <c r="D599" s="30" t="s">
        <v>1322</v>
      </c>
      <c r="E599" s="46"/>
      <c r="F599" s="38"/>
      <c r="G599" s="40">
        <v>1112587895.8199997</v>
      </c>
      <c r="H599" s="45"/>
      <c r="M599" s="40"/>
    </row>
    <row r="600" spans="1:13" ht="15">
      <c r="A600" s="39" t="s">
        <v>1318</v>
      </c>
      <c r="B600" s="39" t="s">
        <v>2032</v>
      </c>
      <c r="C600" s="22"/>
      <c r="D600" s="30" t="s">
        <v>1323</v>
      </c>
      <c r="E600" s="46"/>
      <c r="F600" s="38"/>
      <c r="G600" s="40">
        <v>147923945.51</v>
      </c>
      <c r="H600" s="45"/>
      <c r="M600" s="40"/>
    </row>
    <row r="601" spans="1:13" ht="15">
      <c r="A601" s="39" t="s">
        <v>1589</v>
      </c>
      <c r="B601" s="39" t="s">
        <v>2023</v>
      </c>
      <c r="C601" s="22"/>
      <c r="D601" s="30" t="s">
        <v>1590</v>
      </c>
      <c r="E601" s="45"/>
      <c r="F601" s="38"/>
      <c r="G601" s="40">
        <v>20490086.22</v>
      </c>
      <c r="H601" s="45"/>
      <c r="M601" s="40"/>
    </row>
    <row r="602" spans="1:13" ht="15">
      <c r="A602" s="39" t="s">
        <v>1589</v>
      </c>
      <c r="B602" s="39" t="s">
        <v>2044</v>
      </c>
      <c r="C602" s="22"/>
      <c r="D602" s="30" t="s">
        <v>1591</v>
      </c>
      <c r="E602" s="38"/>
      <c r="F602" s="38"/>
      <c r="G602" s="40">
        <v>68140977.37</v>
      </c>
      <c r="H602" s="45"/>
      <c r="M602" s="40"/>
    </row>
    <row r="603" spans="1:13" ht="15">
      <c r="A603" s="39" t="s">
        <v>1589</v>
      </c>
      <c r="B603" s="39" t="s">
        <v>2018</v>
      </c>
      <c r="C603" s="22"/>
      <c r="D603" s="30" t="s">
        <v>1592</v>
      </c>
      <c r="E603" s="38"/>
      <c r="F603" s="38"/>
      <c r="G603" s="40">
        <v>137047919.49999997</v>
      </c>
      <c r="H603" s="45"/>
      <c r="M603" s="40"/>
    </row>
    <row r="604" spans="1:13" ht="15">
      <c r="A604" s="39" t="s">
        <v>1589</v>
      </c>
      <c r="B604" s="39" t="s">
        <v>1696</v>
      </c>
      <c r="C604" s="22"/>
      <c r="D604" s="30" t="s">
        <v>1593</v>
      </c>
      <c r="E604" s="38"/>
      <c r="F604" s="38"/>
      <c r="G604" s="40">
        <v>299915131.7800001</v>
      </c>
      <c r="H604" s="45"/>
      <c r="M604" s="40"/>
    </row>
    <row r="605" spans="1:13" ht="15">
      <c r="A605" s="39" t="s">
        <v>1589</v>
      </c>
      <c r="B605" s="39" t="s">
        <v>2032</v>
      </c>
      <c r="C605" s="22"/>
      <c r="D605" s="30" t="s">
        <v>1594</v>
      </c>
      <c r="E605" s="38"/>
      <c r="F605" s="38"/>
      <c r="G605" s="40">
        <v>16309858.34</v>
      </c>
      <c r="H605" s="45"/>
      <c r="M605" s="40"/>
    </row>
    <row r="606" spans="1:13" ht="15">
      <c r="A606" s="39" t="s">
        <v>1595</v>
      </c>
      <c r="B606" s="55" t="s">
        <v>2036</v>
      </c>
      <c r="C606" s="22"/>
      <c r="D606" s="30" t="s">
        <v>891</v>
      </c>
      <c r="E606" s="46"/>
      <c r="F606" s="38"/>
      <c r="G606" s="40">
        <v>51417155.14</v>
      </c>
      <c r="H606" s="45"/>
      <c r="M606" s="40"/>
    </row>
    <row r="607" spans="1:13" ht="15">
      <c r="A607" s="39" t="s">
        <v>1595</v>
      </c>
      <c r="B607" s="55" t="s">
        <v>778</v>
      </c>
      <c r="C607" s="36"/>
      <c r="D607" s="30" t="s">
        <v>892</v>
      </c>
      <c r="E607" s="52"/>
      <c r="F607" s="38"/>
      <c r="G607" s="40">
        <v>87807654</v>
      </c>
      <c r="H607" s="45"/>
      <c r="M607" s="40"/>
    </row>
    <row r="608" spans="1:13" ht="15">
      <c r="A608" s="39" t="s">
        <v>893</v>
      </c>
      <c r="B608" s="39" t="s">
        <v>1167</v>
      </c>
      <c r="C608" s="36"/>
      <c r="D608" s="30" t="s">
        <v>894</v>
      </c>
      <c r="E608" s="46"/>
      <c r="F608" s="38"/>
      <c r="G608" s="40">
        <v>49054320.84</v>
      </c>
      <c r="H608" s="45"/>
      <c r="M608" s="42"/>
    </row>
    <row r="609" spans="1:8" ht="15">
      <c r="A609" s="39" t="s">
        <v>893</v>
      </c>
      <c r="B609" s="39" t="s">
        <v>1696</v>
      </c>
      <c r="C609" s="36"/>
      <c r="D609" s="30" t="s">
        <v>895</v>
      </c>
      <c r="E609" s="46"/>
      <c r="F609" s="38"/>
      <c r="G609" s="40">
        <v>0</v>
      </c>
      <c r="H609" s="45"/>
    </row>
    <row r="610" spans="1:8" ht="15">
      <c r="A610" s="39" t="s">
        <v>893</v>
      </c>
      <c r="B610" s="39" t="s">
        <v>1042</v>
      </c>
      <c r="C610" s="36"/>
      <c r="D610" s="30" t="s">
        <v>896</v>
      </c>
      <c r="E610" s="46"/>
      <c r="F610" s="38"/>
      <c r="G610" s="40">
        <v>201692144.41</v>
      </c>
      <c r="H610" s="45"/>
    </row>
    <row r="611" spans="1:8" ht="15">
      <c r="A611" s="39" t="s">
        <v>897</v>
      </c>
      <c r="B611" s="39" t="s">
        <v>1161</v>
      </c>
      <c r="C611" s="22"/>
      <c r="D611" s="30" t="s">
        <v>898</v>
      </c>
      <c r="E611" s="45"/>
      <c r="F611" s="38"/>
      <c r="G611" s="40">
        <f>88313114.33-11680650</f>
        <v>76632464.33</v>
      </c>
      <c r="H611" s="32"/>
    </row>
    <row r="612" spans="1:8" ht="15">
      <c r="A612" s="39" t="s">
        <v>897</v>
      </c>
      <c r="B612" s="39" t="s">
        <v>1163</v>
      </c>
      <c r="C612" s="22"/>
      <c r="D612" s="30" t="s">
        <v>899</v>
      </c>
      <c r="E612" s="38"/>
      <c r="F612" s="38"/>
      <c r="G612" s="40">
        <f>10086779.98+11680650</f>
        <v>21767429.98</v>
      </c>
      <c r="H612" s="45"/>
    </row>
    <row r="613" spans="1:8" ht="15">
      <c r="A613" s="39" t="s">
        <v>897</v>
      </c>
      <c r="B613" s="39" t="s">
        <v>1165</v>
      </c>
      <c r="C613" s="22"/>
      <c r="D613" s="30" t="s">
        <v>1128</v>
      </c>
      <c r="E613" s="38"/>
      <c r="F613" s="38"/>
      <c r="G613" s="40">
        <f>470034283.58-10086779.98</f>
        <v>459947503.59999996</v>
      </c>
      <c r="H613" s="45"/>
    </row>
    <row r="614" spans="1:8" ht="15">
      <c r="A614" s="39" t="s">
        <v>1129</v>
      </c>
      <c r="B614" s="39" t="s">
        <v>1165</v>
      </c>
      <c r="C614" s="22"/>
      <c r="D614" s="30" t="s">
        <v>1130</v>
      </c>
      <c r="E614" s="38"/>
      <c r="F614" s="38"/>
      <c r="G614" s="40">
        <v>488937489</v>
      </c>
      <c r="H614" s="45"/>
    </row>
    <row r="615" spans="1:8" ht="15">
      <c r="A615" s="39" t="s">
        <v>1833</v>
      </c>
      <c r="B615" s="39" t="s">
        <v>1165</v>
      </c>
      <c r="C615" s="22"/>
      <c r="D615" s="30" t="s">
        <v>1834</v>
      </c>
      <c r="E615" s="38"/>
      <c r="F615" s="38"/>
      <c r="G615" s="40">
        <v>531473961</v>
      </c>
      <c r="H615" s="45"/>
    </row>
    <row r="616" spans="1:8" ht="15">
      <c r="A616" s="39" t="s">
        <v>1835</v>
      </c>
      <c r="B616" s="39" t="s">
        <v>1165</v>
      </c>
      <c r="C616" s="22"/>
      <c r="D616" s="30" t="s">
        <v>1836</v>
      </c>
      <c r="E616" s="38"/>
      <c r="F616" s="38"/>
      <c r="G616" s="40">
        <v>270176455</v>
      </c>
      <c r="H616" s="45"/>
    </row>
    <row r="617" spans="1:13" ht="15">
      <c r="A617" s="39" t="s">
        <v>1837</v>
      </c>
      <c r="B617" s="39" t="s">
        <v>1159</v>
      </c>
      <c r="C617" s="22"/>
      <c r="D617" s="30" t="s">
        <v>1838</v>
      </c>
      <c r="E617" s="38"/>
      <c r="F617" s="38"/>
      <c r="G617" s="40">
        <v>5440488</v>
      </c>
      <c r="H617" s="45"/>
      <c r="M617" s="57"/>
    </row>
    <row r="618" spans="1:21" ht="15">
      <c r="A618" s="39" t="s">
        <v>1839</v>
      </c>
      <c r="B618" s="39" t="s">
        <v>2041</v>
      </c>
      <c r="C618" s="22"/>
      <c r="D618" s="30" t="s">
        <v>1934</v>
      </c>
      <c r="E618" s="38"/>
      <c r="F618" s="38"/>
      <c r="G618" s="40">
        <f>43974070-348648</f>
        <v>43625422</v>
      </c>
      <c r="H618" s="45"/>
      <c r="M618" s="57"/>
      <c r="U618" s="57"/>
    </row>
    <row r="619" spans="1:21" ht="15">
      <c r="A619" s="39" t="s">
        <v>1935</v>
      </c>
      <c r="B619" s="39" t="s">
        <v>2041</v>
      </c>
      <c r="C619" s="22"/>
      <c r="D619" s="30" t="s">
        <v>1936</v>
      </c>
      <c r="E619" s="38"/>
      <c r="F619" s="38"/>
      <c r="G619" s="40">
        <v>2057841059</v>
      </c>
      <c r="H619" s="45"/>
      <c r="M619" s="57"/>
      <c r="U619" s="57"/>
    </row>
    <row r="620" spans="1:21" ht="15">
      <c r="A620" s="39" t="s">
        <v>1937</v>
      </c>
      <c r="B620" s="39" t="s">
        <v>2041</v>
      </c>
      <c r="C620" s="22"/>
      <c r="D620" s="30" t="s">
        <v>1938</v>
      </c>
      <c r="E620" s="38"/>
      <c r="F620" s="38"/>
      <c r="G620" s="40">
        <v>0</v>
      </c>
      <c r="H620" s="45"/>
      <c r="M620" s="57"/>
      <c r="U620" s="57"/>
    </row>
    <row r="621" spans="1:21" ht="15">
      <c r="A621" s="39" t="s">
        <v>1939</v>
      </c>
      <c r="B621" s="39" t="s">
        <v>70</v>
      </c>
      <c r="C621" s="22"/>
      <c r="D621" s="30" t="s">
        <v>1940</v>
      </c>
      <c r="E621" s="38"/>
      <c r="F621" s="38"/>
      <c r="G621" s="40">
        <v>263826170</v>
      </c>
      <c r="H621" s="45"/>
      <c r="M621" s="57"/>
      <c r="U621" s="57"/>
    </row>
    <row r="622" spans="1:21" ht="15">
      <c r="A622" s="39" t="s">
        <v>1941</v>
      </c>
      <c r="B622" s="39" t="s">
        <v>778</v>
      </c>
      <c r="C622" s="22"/>
      <c r="D622" s="30" t="s">
        <v>1942</v>
      </c>
      <c r="E622" s="38"/>
      <c r="F622" s="38"/>
      <c r="G622" s="40">
        <v>126372372</v>
      </c>
      <c r="H622" s="45"/>
      <c r="M622" s="57"/>
      <c r="U622" s="57"/>
    </row>
    <row r="623" spans="1:21" ht="15">
      <c r="A623" s="39" t="s">
        <v>1943</v>
      </c>
      <c r="B623" s="39" t="s">
        <v>70</v>
      </c>
      <c r="C623" s="22"/>
      <c r="D623" s="30" t="s">
        <v>1944</v>
      </c>
      <c r="E623" s="38"/>
      <c r="F623" s="38"/>
      <c r="G623" s="40">
        <v>56004874</v>
      </c>
      <c r="H623" s="45"/>
      <c r="M623" s="57"/>
      <c r="U623" s="57"/>
    </row>
    <row r="624" spans="1:21" ht="15">
      <c r="A624" s="39" t="s">
        <v>1945</v>
      </c>
      <c r="B624" s="39" t="s">
        <v>70</v>
      </c>
      <c r="C624" s="22"/>
      <c r="D624" s="30" t="s">
        <v>1946</v>
      </c>
      <c r="E624" s="38"/>
      <c r="F624" s="38"/>
      <c r="G624" s="40">
        <v>28430861</v>
      </c>
      <c r="H624" s="45"/>
      <c r="M624" s="57"/>
      <c r="U624" s="57"/>
    </row>
    <row r="625" spans="1:21" ht="15">
      <c r="A625" s="39" t="s">
        <v>1947</v>
      </c>
      <c r="B625" s="39" t="s">
        <v>1167</v>
      </c>
      <c r="C625" s="22"/>
      <c r="D625" s="30" t="s">
        <v>1948</v>
      </c>
      <c r="E625" s="38"/>
      <c r="F625" s="38"/>
      <c r="G625" s="40">
        <v>905097</v>
      </c>
      <c r="H625" s="45"/>
      <c r="M625" s="42"/>
      <c r="U625" s="57"/>
    </row>
    <row r="626" spans="1:21" ht="15">
      <c r="A626" s="39" t="s">
        <v>1949</v>
      </c>
      <c r="B626" s="39" t="s">
        <v>1167</v>
      </c>
      <c r="C626" s="22"/>
      <c r="D626" s="30" t="s">
        <v>1950</v>
      </c>
      <c r="E626" s="38"/>
      <c r="F626" s="38"/>
      <c r="G626" s="40">
        <f>170383628-170383628</f>
        <v>0</v>
      </c>
      <c r="H626" s="45"/>
      <c r="U626" s="42"/>
    </row>
    <row r="627" spans="1:8" ht="15">
      <c r="A627" s="39" t="s">
        <v>1951</v>
      </c>
      <c r="B627" s="39" t="s">
        <v>1161</v>
      </c>
      <c r="C627" s="22"/>
      <c r="D627" s="30" t="s">
        <v>1952</v>
      </c>
      <c r="E627" s="38"/>
      <c r="F627" s="38"/>
      <c r="G627" s="40">
        <v>4890352433</v>
      </c>
      <c r="H627" s="45"/>
    </row>
    <row r="628" spans="1:8" ht="15">
      <c r="A628" s="39" t="s">
        <v>1953</v>
      </c>
      <c r="B628" s="39" t="s">
        <v>1161</v>
      </c>
      <c r="C628" s="22"/>
      <c r="D628" s="30" t="s">
        <v>1954</v>
      </c>
      <c r="E628" s="38"/>
      <c r="F628" s="38"/>
      <c r="G628" s="40">
        <v>1891422000</v>
      </c>
      <c r="H628" s="45"/>
    </row>
    <row r="629" spans="1:8" ht="15">
      <c r="A629" s="39" t="s">
        <v>1955</v>
      </c>
      <c r="B629" s="39" t="s">
        <v>1161</v>
      </c>
      <c r="C629" s="22"/>
      <c r="D629" s="30" t="s">
        <v>1956</v>
      </c>
      <c r="E629" s="38"/>
      <c r="F629" s="38"/>
      <c r="G629" s="40">
        <v>210421454</v>
      </c>
      <c r="H629" s="45"/>
    </row>
    <row r="630" spans="1:8" ht="15">
      <c r="A630" s="39" t="s">
        <v>1957</v>
      </c>
      <c r="B630" s="39" t="s">
        <v>1064</v>
      </c>
      <c r="C630" s="22"/>
      <c r="D630" s="30" t="s">
        <v>1958</v>
      </c>
      <c r="E630" s="38"/>
      <c r="F630" s="38"/>
      <c r="G630" s="40">
        <v>27905349</v>
      </c>
      <c r="H630" s="45"/>
    </row>
    <row r="631" spans="1:8" ht="15">
      <c r="A631" s="39" t="s">
        <v>1959</v>
      </c>
      <c r="B631" s="39" t="s">
        <v>1161</v>
      </c>
      <c r="C631" s="22"/>
      <c r="D631" s="30" t="s">
        <v>1697</v>
      </c>
      <c r="E631" s="38"/>
      <c r="F631" s="38"/>
      <c r="G631" s="54"/>
      <c r="H631" s="58"/>
    </row>
    <row r="632" spans="1:8" ht="15">
      <c r="A632" s="36"/>
      <c r="B632" s="36"/>
      <c r="C632" s="22"/>
      <c r="D632" s="30"/>
      <c r="E632" s="38"/>
      <c r="F632" s="38"/>
      <c r="G632" s="59"/>
      <c r="H632" s="45"/>
    </row>
    <row r="633" spans="1:8" ht="16.5">
      <c r="A633" s="22" t="s">
        <v>1207</v>
      </c>
      <c r="B633" s="22"/>
      <c r="C633" s="22"/>
      <c r="D633" s="23"/>
      <c r="E633" s="24"/>
      <c r="F633" s="24"/>
      <c r="G633" s="25">
        <f>SUM(G8:G632)</f>
        <v>120646467824.59991</v>
      </c>
      <c r="H633" s="25">
        <f>SUM(H8:H632)</f>
        <v>120646467824.11</v>
      </c>
    </row>
    <row r="634" spans="1:8" ht="15">
      <c r="A634" s="36"/>
      <c r="B634" s="36"/>
      <c r="C634" s="22"/>
      <c r="D634" s="23" t="s">
        <v>1698</v>
      </c>
      <c r="E634" s="24"/>
      <c r="F634" s="24"/>
      <c r="G634" s="60">
        <f>G633-H633</f>
        <v>0.4899139404296875</v>
      </c>
      <c r="H634" s="60"/>
    </row>
    <row r="635" spans="1:8" ht="15">
      <c r="A635" s="61"/>
      <c r="B635" s="61"/>
      <c r="C635" s="62"/>
      <c r="D635" s="63"/>
      <c r="E635" s="64"/>
      <c r="F635" s="64"/>
      <c r="G635" s="65"/>
      <c r="H635" s="65"/>
    </row>
    <row r="636" spans="1:13" ht="15">
      <c r="A636" s="66"/>
      <c r="B636" s="66"/>
      <c r="C636" s="66"/>
      <c r="D636" s="66"/>
      <c r="E636" s="66"/>
      <c r="F636" s="66"/>
      <c r="G636" s="67"/>
      <c r="H636" s="67"/>
      <c r="I636" s="31"/>
      <c r="J636" s="31"/>
      <c r="K636" s="31"/>
      <c r="L636" s="31"/>
      <c r="M636" s="31"/>
    </row>
    <row r="637" spans="1:8" ht="15">
      <c r="A637" s="66" t="s">
        <v>1111</v>
      </c>
      <c r="B637" s="66"/>
      <c r="C637" s="66"/>
      <c r="D637" s="66"/>
      <c r="E637" s="66"/>
      <c r="F637" s="66"/>
      <c r="G637" s="67"/>
      <c r="H637" s="67"/>
    </row>
    <row r="638" spans="1:8" ht="15">
      <c r="A638" s="66"/>
      <c r="B638" s="66"/>
      <c r="C638" s="66"/>
      <c r="D638" s="66"/>
      <c r="E638" s="66"/>
      <c r="F638" s="66"/>
      <c r="G638" s="67"/>
      <c r="H638" s="67"/>
    </row>
    <row r="639" spans="1:8" ht="15">
      <c r="A639" s="66"/>
      <c r="B639" s="66"/>
      <c r="C639" s="66"/>
      <c r="D639" s="66"/>
      <c r="E639" s="66"/>
      <c r="F639" s="66"/>
      <c r="G639" s="67"/>
      <c r="H639" s="67"/>
    </row>
    <row r="640" spans="1:8" ht="15">
      <c r="A640" s="66" t="s">
        <v>1672</v>
      </c>
      <c r="B640" s="66"/>
      <c r="C640" s="66"/>
      <c r="D640" s="66"/>
      <c r="E640" s="66"/>
      <c r="F640" s="66"/>
      <c r="G640" s="67"/>
      <c r="H640" s="67"/>
    </row>
    <row r="641" spans="1:8" ht="15">
      <c r="A641" s="66"/>
      <c r="B641" s="66"/>
      <c r="C641" s="66"/>
      <c r="D641" s="66"/>
      <c r="E641" s="66"/>
      <c r="F641" s="66"/>
      <c r="G641" s="68" t="s">
        <v>1613</v>
      </c>
      <c r="H641" s="68" t="s">
        <v>55</v>
      </c>
    </row>
    <row r="642" spans="1:8" ht="15">
      <c r="A642" s="66"/>
      <c r="B642" s="66"/>
      <c r="C642" s="66" t="s">
        <v>1673</v>
      </c>
      <c r="D642" s="66"/>
      <c r="E642" s="66"/>
      <c r="F642" s="66"/>
      <c r="G642" s="68" t="s">
        <v>1113</v>
      </c>
      <c r="H642" s="68" t="s">
        <v>1113</v>
      </c>
    </row>
    <row r="643" spans="1:8" ht="15">
      <c r="A643" s="66"/>
      <c r="B643" s="66"/>
      <c r="C643" s="66"/>
      <c r="D643" s="66" t="s">
        <v>1114</v>
      </c>
      <c r="E643" s="66"/>
      <c r="F643" s="66"/>
      <c r="G643" s="68"/>
      <c r="H643" s="68"/>
    </row>
    <row r="644" spans="1:8" ht="15">
      <c r="A644" s="66"/>
      <c r="B644" s="66"/>
      <c r="C644" s="66"/>
      <c r="D644" s="66"/>
      <c r="E644" s="66"/>
      <c r="F644" s="66"/>
      <c r="G644" s="68"/>
      <c r="H644" s="68"/>
    </row>
    <row r="645" spans="1:8" ht="15">
      <c r="A645" s="66"/>
      <c r="B645" s="66"/>
      <c r="C645" s="69">
        <v>101210</v>
      </c>
      <c r="D645" s="69" t="s">
        <v>1674</v>
      </c>
      <c r="E645" s="69"/>
      <c r="F645" s="69"/>
      <c r="G645" s="70">
        <f>G2047*0.001</f>
        <v>175071.56900000002</v>
      </c>
      <c r="H645" s="70">
        <f>H2047*0.001</f>
        <v>77594.331</v>
      </c>
    </row>
    <row r="646" spans="1:8" ht="15">
      <c r="A646" s="66"/>
      <c r="B646" s="66"/>
      <c r="C646" s="69">
        <v>101230</v>
      </c>
      <c r="D646" s="69" t="s">
        <v>1675</v>
      </c>
      <c r="E646" s="69"/>
      <c r="F646" s="69"/>
      <c r="G646" s="70">
        <f>G2048*0.001</f>
        <v>-106025.092</v>
      </c>
      <c r="H646" s="70">
        <f>H2048*0.001</f>
        <v>-77594.231</v>
      </c>
    </row>
    <row r="647" spans="1:8" ht="15">
      <c r="A647" s="66"/>
      <c r="B647" s="66"/>
      <c r="C647" s="71">
        <v>101300</v>
      </c>
      <c r="D647" s="71" t="s">
        <v>1676</v>
      </c>
      <c r="E647" s="71"/>
      <c r="F647" s="71"/>
      <c r="G647" s="72">
        <f>SUM(G645:G646)</f>
        <v>69046.47700000001</v>
      </c>
      <c r="H647" s="72">
        <f>SUM(H645:H646)</f>
        <v>0.10000000000582077</v>
      </c>
    </row>
    <row r="648" spans="1:8" ht="15">
      <c r="A648" s="66"/>
      <c r="B648" s="66"/>
      <c r="C648" s="66">
        <v>102000</v>
      </c>
      <c r="D648" s="66" t="s">
        <v>1771</v>
      </c>
      <c r="E648" s="66"/>
      <c r="F648" s="66"/>
      <c r="G648" s="68">
        <f>G647</f>
        <v>69046.47700000001</v>
      </c>
      <c r="H648" s="68">
        <f>H647</f>
        <v>0.10000000000582077</v>
      </c>
    </row>
    <row r="649" spans="1:8" ht="15">
      <c r="A649" s="66"/>
      <c r="B649" s="66"/>
      <c r="C649" s="66"/>
      <c r="D649" s="66"/>
      <c r="E649" s="66"/>
      <c r="F649" s="66"/>
      <c r="G649" s="68"/>
      <c r="H649" s="68"/>
    </row>
    <row r="650" spans="3:8" ht="15">
      <c r="C650" s="73">
        <v>103110</v>
      </c>
      <c r="D650" s="9" t="s">
        <v>1772</v>
      </c>
      <c r="G650" s="6">
        <f>G2057*0.001</f>
        <v>1373578.606</v>
      </c>
      <c r="H650" s="6">
        <f>H2057*0.001</f>
        <v>1279219.859</v>
      </c>
    </row>
    <row r="651" spans="3:8" ht="15">
      <c r="C651" s="73">
        <v>103130</v>
      </c>
      <c r="D651" s="9" t="s">
        <v>1773</v>
      </c>
      <c r="G651" s="6">
        <f>-G2062*0.001</f>
        <v>-376289.643</v>
      </c>
      <c r="H651" s="6">
        <f>-H2062*0.001</f>
        <v>-327572.382</v>
      </c>
    </row>
    <row r="652" spans="3:8" ht="15">
      <c r="C652" s="74">
        <v>103200</v>
      </c>
      <c r="D652" s="75" t="s">
        <v>655</v>
      </c>
      <c r="E652" s="75"/>
      <c r="F652" s="75"/>
      <c r="G652" s="76">
        <f>SUM(G650:G651)</f>
        <v>997288.963</v>
      </c>
      <c r="H652" s="76">
        <f>SUM(H650:H651)</f>
        <v>951647.477</v>
      </c>
    </row>
    <row r="653" spans="3:8" ht="15">
      <c r="C653" s="73"/>
      <c r="G653" s="6"/>
      <c r="H653" s="6"/>
    </row>
    <row r="654" spans="3:8" ht="15">
      <c r="C654" s="73">
        <v>103310</v>
      </c>
      <c r="D654" s="9" t="s">
        <v>656</v>
      </c>
      <c r="G654" s="6">
        <f>G2069*0.001</f>
        <v>29632987.57</v>
      </c>
      <c r="H654" s="6">
        <f>H2069*0.001</f>
        <v>28899788.333</v>
      </c>
    </row>
    <row r="655" spans="3:8" ht="15">
      <c r="C655" s="73">
        <v>103330</v>
      </c>
      <c r="D655" s="9" t="s">
        <v>657</v>
      </c>
      <c r="G655" s="6">
        <f>-G2074*0.001</f>
        <v>-6750999.933</v>
      </c>
      <c r="H655" s="6">
        <f>-H2074*0.001</f>
        <v>-4694189.23</v>
      </c>
    </row>
    <row r="656" spans="3:8" ht="15">
      <c r="C656" s="74">
        <v>103400</v>
      </c>
      <c r="D656" s="75" t="s">
        <v>658</v>
      </c>
      <c r="E656" s="75"/>
      <c r="F656" s="75"/>
      <c r="G656" s="76">
        <f>SUM(G654:G655)</f>
        <v>22881987.637000002</v>
      </c>
      <c r="H656" s="76">
        <f>SUM(H654:H655)</f>
        <v>24205599.103</v>
      </c>
    </row>
    <row r="657" spans="3:8" ht="15">
      <c r="C657" s="73"/>
      <c r="G657" s="6"/>
      <c r="H657" s="6"/>
    </row>
    <row r="658" spans="3:8" ht="15">
      <c r="C658" s="73">
        <v>103510</v>
      </c>
      <c r="D658" s="9" t="s">
        <v>659</v>
      </c>
      <c r="G658" s="6">
        <f>G2083*0.001</f>
        <v>4394673.166</v>
      </c>
      <c r="H658" s="6">
        <f>H2083*0.001</f>
        <v>3276801.358</v>
      </c>
    </row>
    <row r="659" spans="3:8" ht="15">
      <c r="C659" s="73">
        <v>103530</v>
      </c>
      <c r="D659" s="9" t="s">
        <v>660</v>
      </c>
      <c r="G659" s="6">
        <f>-G2090*0.001</f>
        <v>-2794528.072</v>
      </c>
      <c r="H659" s="6">
        <f>-H2090*0.001</f>
        <v>-2461330.594</v>
      </c>
    </row>
    <row r="660" spans="3:8" ht="15">
      <c r="C660" s="74">
        <v>103600</v>
      </c>
      <c r="D660" s="75" t="s">
        <v>661</v>
      </c>
      <c r="E660" s="75"/>
      <c r="F660" s="75"/>
      <c r="G660" s="76">
        <f>SUM(G658:G659)</f>
        <v>1600145.094</v>
      </c>
      <c r="H660" s="76">
        <f>SUM(H658:H659)</f>
        <v>815470.764</v>
      </c>
    </row>
    <row r="661" spans="3:8" ht="15">
      <c r="C661" s="73"/>
      <c r="G661" s="6"/>
      <c r="H661" s="6"/>
    </row>
    <row r="662" spans="3:8" ht="15">
      <c r="C662" s="73">
        <v>103800</v>
      </c>
      <c r="D662" s="9" t="s">
        <v>662</v>
      </c>
      <c r="G662" s="6">
        <f>G2096*0.001</f>
        <v>1440867.6570000001</v>
      </c>
      <c r="H662" s="6">
        <f>H2096*0.001</f>
        <v>474609.873</v>
      </c>
    </row>
    <row r="663" spans="3:8" ht="15">
      <c r="C663" s="73"/>
      <c r="G663" s="6"/>
      <c r="H663" s="6"/>
    </row>
    <row r="664" spans="3:8" ht="15">
      <c r="C664" s="77">
        <v>104000</v>
      </c>
      <c r="D664" s="8" t="s">
        <v>663</v>
      </c>
      <c r="E664" s="8"/>
      <c r="F664" s="8"/>
      <c r="G664" s="78">
        <f>G652+G656+G660+G662</f>
        <v>26920289.351000004</v>
      </c>
      <c r="H664" s="78">
        <f>H652+H656+H660+H662</f>
        <v>26447327.216999996</v>
      </c>
    </row>
    <row r="665" spans="3:8" ht="15">
      <c r="C665" s="73"/>
      <c r="G665" s="6"/>
      <c r="H665" s="6"/>
    </row>
    <row r="666" spans="3:8" ht="15">
      <c r="C666" s="74">
        <v>109900</v>
      </c>
      <c r="D666" s="75" t="s">
        <v>664</v>
      </c>
      <c r="E666" s="75"/>
      <c r="F666" s="75"/>
      <c r="G666" s="76">
        <f>SUM(G664:G665)</f>
        <v>26920289.351000004</v>
      </c>
      <c r="H666" s="76">
        <f>SUM(H664:H665)</f>
        <v>26447327.216999996</v>
      </c>
    </row>
    <row r="667" spans="3:8" ht="15">
      <c r="C667" s="73"/>
      <c r="G667" s="6"/>
      <c r="H667" s="6"/>
    </row>
    <row r="668" spans="3:8" ht="15">
      <c r="C668" s="73">
        <v>133200</v>
      </c>
      <c r="D668" s="9" t="s">
        <v>665</v>
      </c>
      <c r="G668" s="6">
        <f>G2102*0.001</f>
        <v>34900</v>
      </c>
      <c r="H668" s="6">
        <f>H2102*0.001</f>
        <v>87300</v>
      </c>
    </row>
    <row r="669" spans="3:8" ht="15">
      <c r="C669" s="73"/>
      <c r="G669" s="6"/>
      <c r="H669" s="6"/>
    </row>
    <row r="670" spans="3:8" ht="15">
      <c r="C670" s="74">
        <v>139900</v>
      </c>
      <c r="D670" s="75" t="s">
        <v>666</v>
      </c>
      <c r="E670" s="75"/>
      <c r="F670" s="75"/>
      <c r="G670" s="76">
        <f>SUM(G668:G669)</f>
        <v>34900</v>
      </c>
      <c r="H670" s="76">
        <f>SUM(H668:H669)</f>
        <v>87300</v>
      </c>
    </row>
    <row r="671" spans="3:8" ht="15">
      <c r="C671" s="73"/>
      <c r="G671" s="6"/>
      <c r="H671" s="6"/>
    </row>
    <row r="672" spans="3:8" ht="15">
      <c r="C672" s="77">
        <v>140000</v>
      </c>
      <c r="D672" s="8" t="s">
        <v>1115</v>
      </c>
      <c r="E672" s="8"/>
      <c r="F672" s="8"/>
      <c r="G672" s="78">
        <f>G648+G666+G670</f>
        <v>27024235.828000005</v>
      </c>
      <c r="H672" s="78">
        <f>H648+H666+H670</f>
        <v>26534627.316999998</v>
      </c>
    </row>
    <row r="673" spans="3:8" ht="15">
      <c r="C673" s="73"/>
      <c r="G673" s="6"/>
      <c r="H673" s="6"/>
    </row>
    <row r="674" spans="3:8" ht="15">
      <c r="C674" s="73">
        <v>142000</v>
      </c>
      <c r="D674" s="9" t="s">
        <v>1116</v>
      </c>
      <c r="G674" s="6">
        <f>G2122*0.001</f>
        <v>9617689.271</v>
      </c>
      <c r="H674" s="6">
        <f>H2122*0.001</f>
        <v>9684743.971</v>
      </c>
    </row>
    <row r="675" spans="3:8" ht="15">
      <c r="C675" s="73">
        <v>144000</v>
      </c>
      <c r="D675" s="9" t="s">
        <v>1117</v>
      </c>
      <c r="G675" s="6">
        <f>G2133*0.001</f>
        <v>1343233.352</v>
      </c>
      <c r="H675" s="6">
        <f>H2133*0.001</f>
        <v>474449.152</v>
      </c>
    </row>
    <row r="676" spans="3:8" ht="15">
      <c r="C676" s="73">
        <v>146000</v>
      </c>
      <c r="D676" s="9" t="s">
        <v>419</v>
      </c>
      <c r="G676" s="6">
        <f>G2140*0.001</f>
        <v>140067.592</v>
      </c>
      <c r="H676" s="6">
        <f>H2140*0.001</f>
        <v>358643.78500000003</v>
      </c>
    </row>
    <row r="677" spans="3:8" ht="15">
      <c r="C677" s="77">
        <v>149900</v>
      </c>
      <c r="D677" s="8" t="s">
        <v>667</v>
      </c>
      <c r="E677" s="8"/>
      <c r="F677" s="8"/>
      <c r="G677" s="78">
        <f>SUM(G674:G676)</f>
        <v>11100990.215</v>
      </c>
      <c r="H677" s="78">
        <f>SUM(H674:H676)</f>
        <v>10517836.908000002</v>
      </c>
    </row>
    <row r="678" spans="3:8" ht="15">
      <c r="C678" s="73"/>
      <c r="G678" s="6"/>
      <c r="H678" s="6"/>
    </row>
    <row r="679" spans="3:8" ht="15">
      <c r="C679" s="73">
        <v>151200</v>
      </c>
      <c r="D679" s="9" t="s">
        <v>420</v>
      </c>
      <c r="G679" s="6">
        <f>G2146*0.001</f>
        <v>2457358.50957</v>
      </c>
      <c r="H679" s="6">
        <f>H2146*0.001</f>
        <v>2204258.445</v>
      </c>
    </row>
    <row r="680" spans="3:8" ht="15">
      <c r="C680" s="73">
        <v>151600</v>
      </c>
      <c r="D680" s="9" t="s">
        <v>421</v>
      </c>
      <c r="G680" s="6">
        <f>G2150*0.001</f>
        <v>-430434.779</v>
      </c>
      <c r="H680" s="6">
        <f>H2150*0.001</f>
        <v>-191659.652</v>
      </c>
    </row>
    <row r="681" spans="3:8" ht="15">
      <c r="C681" s="74">
        <v>152000</v>
      </c>
      <c r="D681" s="75" t="s">
        <v>668</v>
      </c>
      <c r="E681" s="75"/>
      <c r="F681" s="75"/>
      <c r="G681" s="76">
        <f>SUM(G679:G680)</f>
        <v>2026923.7305700001</v>
      </c>
      <c r="H681" s="76">
        <f>SUM(H679:H680)</f>
        <v>2012598.7929999998</v>
      </c>
    </row>
    <row r="682" spans="3:8" ht="15">
      <c r="C682" s="73"/>
      <c r="G682" s="6"/>
      <c r="H682" s="6"/>
    </row>
    <row r="683" spans="3:8" ht="15">
      <c r="C683" s="73">
        <v>153200</v>
      </c>
      <c r="D683" s="9" t="s">
        <v>669</v>
      </c>
      <c r="G683" s="6">
        <f>G2194*0.001</f>
        <v>1636070.31819</v>
      </c>
      <c r="H683" s="6">
        <f>H2194*0.001</f>
        <v>2008272.387</v>
      </c>
    </row>
    <row r="684" spans="3:8" ht="15">
      <c r="C684" s="74">
        <v>154000</v>
      </c>
      <c r="D684" s="75" t="s">
        <v>180</v>
      </c>
      <c r="E684" s="75"/>
      <c r="F684" s="75"/>
      <c r="G684" s="76">
        <f>SUM(G683)</f>
        <v>1636070.31819</v>
      </c>
      <c r="H684" s="76">
        <f>SUM(H683)</f>
        <v>2008272.387</v>
      </c>
    </row>
    <row r="685" spans="3:8" ht="15">
      <c r="C685" s="73"/>
      <c r="G685" s="6"/>
      <c r="H685" s="6"/>
    </row>
    <row r="686" spans="3:8" ht="15">
      <c r="C686" s="77">
        <v>159900</v>
      </c>
      <c r="D686" s="8" t="s">
        <v>181</v>
      </c>
      <c r="E686" s="8"/>
      <c r="F686" s="8"/>
      <c r="G686" s="78">
        <f>G681+G684</f>
        <v>3662994.04876</v>
      </c>
      <c r="H686" s="78">
        <f>H681+H684</f>
        <v>4020871.1799999997</v>
      </c>
    </row>
    <row r="687" spans="3:8" ht="15">
      <c r="C687" s="73"/>
      <c r="G687" s="6"/>
      <c r="H687" s="6"/>
    </row>
    <row r="688" spans="3:8" ht="15">
      <c r="C688" s="73">
        <v>174000</v>
      </c>
      <c r="D688" s="9" t="s">
        <v>182</v>
      </c>
      <c r="G688" s="6">
        <f>G2211*0.001</f>
        <v>10239221.71</v>
      </c>
      <c r="H688" s="6">
        <f>H2211*0.001</f>
        <v>2044332.8360000001</v>
      </c>
    </row>
    <row r="689" spans="3:8" ht="15">
      <c r="C689" s="77">
        <v>179900</v>
      </c>
      <c r="D689" s="8" t="s">
        <v>183</v>
      </c>
      <c r="E689" s="8"/>
      <c r="F689" s="8"/>
      <c r="G689" s="78">
        <f>SUM(G688)</f>
        <v>10239221.71</v>
      </c>
      <c r="H689" s="78">
        <f>SUM(H688)</f>
        <v>2044332.8360000001</v>
      </c>
    </row>
    <row r="690" spans="3:8" ht="15">
      <c r="C690" s="73"/>
      <c r="G690" s="6"/>
      <c r="H690" s="6"/>
    </row>
    <row r="691" spans="3:8" ht="15">
      <c r="C691" s="77">
        <v>190000</v>
      </c>
      <c r="D691" s="8" t="s">
        <v>422</v>
      </c>
      <c r="E691" s="8"/>
      <c r="F691" s="8"/>
      <c r="G691" s="78">
        <f>G677+G686+G689</f>
        <v>25003205.97376</v>
      </c>
      <c r="H691" s="78">
        <f>H677+H686+H689</f>
        <v>16583040.924000002</v>
      </c>
    </row>
    <row r="692" spans="3:8" ht="15">
      <c r="C692" s="73"/>
      <c r="G692" s="6"/>
      <c r="H692" s="6"/>
    </row>
    <row r="693" spans="3:8" ht="15">
      <c r="C693" s="77">
        <v>190900</v>
      </c>
      <c r="D693" s="8" t="s">
        <v>184</v>
      </c>
      <c r="E693" s="8"/>
      <c r="F693" s="8"/>
      <c r="G693" s="78">
        <f>G672+G691</f>
        <v>52027441.80176</v>
      </c>
      <c r="H693" s="78">
        <f>H672+H691</f>
        <v>43117668.241</v>
      </c>
    </row>
    <row r="694" spans="3:8" ht="15">
      <c r="C694" s="73"/>
      <c r="G694" s="6"/>
      <c r="H694" s="6"/>
    </row>
    <row r="695" spans="3:8" ht="15">
      <c r="C695" s="73"/>
      <c r="G695" s="6"/>
      <c r="H695" s="6"/>
    </row>
    <row r="696" spans="3:8" ht="15">
      <c r="C696" s="73"/>
      <c r="D696" s="8" t="s">
        <v>423</v>
      </c>
      <c r="G696" s="6"/>
      <c r="H696" s="6"/>
    </row>
    <row r="697" spans="3:8" ht="15">
      <c r="C697" s="73"/>
      <c r="G697" s="6"/>
      <c r="H697" s="6"/>
    </row>
    <row r="698" spans="3:8" ht="15">
      <c r="C698" s="74">
        <v>201000</v>
      </c>
      <c r="D698" s="75" t="s">
        <v>185</v>
      </c>
      <c r="E698" s="75"/>
      <c r="F698" s="75"/>
      <c r="G698" s="160">
        <f>G2216*0.001</f>
        <v>3598462</v>
      </c>
      <c r="H698" s="76">
        <f>H2216*0.001</f>
        <v>3598462</v>
      </c>
    </row>
    <row r="699" spans="3:8" ht="15">
      <c r="C699" s="73"/>
      <c r="G699" s="6"/>
      <c r="H699" s="6"/>
    </row>
    <row r="700" spans="3:8" ht="15">
      <c r="C700" s="73">
        <v>202200</v>
      </c>
      <c r="D700" s="9" t="s">
        <v>186</v>
      </c>
      <c r="G700" s="6">
        <f>G2223*0.001</f>
        <v>18214294.71</v>
      </c>
      <c r="H700" s="6">
        <f>H2223*0.001</f>
        <v>11093873.424</v>
      </c>
    </row>
    <row r="701" spans="3:8" ht="15">
      <c r="C701" s="73">
        <v>202400</v>
      </c>
      <c r="D701" s="9" t="s">
        <v>187</v>
      </c>
      <c r="G701" s="6">
        <f>G898</f>
        <v>15628386.719280014</v>
      </c>
      <c r="H701" s="6">
        <v>8875285</v>
      </c>
    </row>
    <row r="702" spans="3:8" ht="15">
      <c r="C702" s="74">
        <v>203000</v>
      </c>
      <c r="D702" s="75" t="s">
        <v>188</v>
      </c>
      <c r="E702" s="75"/>
      <c r="F702" s="75"/>
      <c r="G702" s="76">
        <f>SUM(G700:G701)</f>
        <v>33842681.42928001</v>
      </c>
      <c r="H702" s="76">
        <f>SUM(H700:H701)</f>
        <v>19969158.424000002</v>
      </c>
    </row>
    <row r="703" spans="3:8" ht="15">
      <c r="C703" s="77">
        <v>204900</v>
      </c>
      <c r="D703" s="8" t="s">
        <v>424</v>
      </c>
      <c r="E703" s="8"/>
      <c r="F703" s="8"/>
      <c r="G703" s="78">
        <f>G698+G702</f>
        <v>37441143.42928001</v>
      </c>
      <c r="H703" s="78">
        <f>H698+H702</f>
        <v>23567620.424000002</v>
      </c>
    </row>
    <row r="704" spans="3:8" ht="15">
      <c r="C704" s="73"/>
      <c r="G704" s="6"/>
      <c r="H704" s="6"/>
    </row>
    <row r="705" spans="3:8" ht="15">
      <c r="C705" s="77">
        <v>207000</v>
      </c>
      <c r="D705" s="8" t="s">
        <v>189</v>
      </c>
      <c r="E705" s="8"/>
      <c r="F705" s="8"/>
      <c r="G705" s="78">
        <f>SUM(G703:G704)</f>
        <v>37441143.42928001</v>
      </c>
      <c r="H705" s="78">
        <f>SUM(H703:H704)</f>
        <v>23567620.424000002</v>
      </c>
    </row>
    <row r="706" spans="3:8" ht="15">
      <c r="C706" s="77"/>
      <c r="D706" s="8"/>
      <c r="E706" s="8"/>
      <c r="F706" s="8"/>
      <c r="G706" s="78"/>
      <c r="H706" s="78"/>
    </row>
    <row r="707" spans="3:8" ht="15">
      <c r="C707" s="73">
        <v>207200</v>
      </c>
      <c r="D707" s="9" t="s">
        <v>190</v>
      </c>
      <c r="G707" s="6">
        <v>0</v>
      </c>
      <c r="H707" s="6">
        <v>0</v>
      </c>
    </row>
    <row r="708" spans="3:8" ht="15">
      <c r="C708" s="73">
        <v>207600</v>
      </c>
      <c r="D708" s="9" t="s">
        <v>1794</v>
      </c>
      <c r="G708" s="6">
        <v>0</v>
      </c>
      <c r="H708" s="6">
        <v>0</v>
      </c>
    </row>
    <row r="709" spans="3:8" ht="15">
      <c r="C709" s="73">
        <v>207800</v>
      </c>
      <c r="D709" s="9" t="s">
        <v>1795</v>
      </c>
      <c r="G709" s="6">
        <f>(H142+H144+H146)*0.001</f>
        <v>464424.39400000003</v>
      </c>
      <c r="H709" s="6">
        <f>(139602236+0)*0.001</f>
        <v>139602.236</v>
      </c>
    </row>
    <row r="710" spans="3:8" ht="15">
      <c r="C710" s="74">
        <v>208000</v>
      </c>
      <c r="D710" s="75" t="s">
        <v>1796</v>
      </c>
      <c r="E710" s="75"/>
      <c r="F710" s="75"/>
      <c r="G710" s="76">
        <f>SUM(G707:G709)</f>
        <v>464424.39400000003</v>
      </c>
      <c r="H710" s="76">
        <f>SUM(H707:H709)</f>
        <v>139602.236</v>
      </c>
    </row>
    <row r="711" spans="3:8" ht="15">
      <c r="C711" s="74"/>
      <c r="D711" s="75"/>
      <c r="E711" s="75"/>
      <c r="F711" s="75"/>
      <c r="G711" s="76"/>
      <c r="H711" s="76"/>
    </row>
    <row r="712" spans="3:8" ht="15">
      <c r="C712" s="73">
        <v>208200</v>
      </c>
      <c r="D712" s="9" t="s">
        <v>1797</v>
      </c>
      <c r="G712" s="6">
        <v>0</v>
      </c>
      <c r="H712" s="6">
        <v>0</v>
      </c>
    </row>
    <row r="713" spans="3:8" ht="15">
      <c r="C713" s="73">
        <v>208600</v>
      </c>
      <c r="D713" s="9" t="s">
        <v>1798</v>
      </c>
      <c r="G713" s="6">
        <v>0</v>
      </c>
      <c r="H713" s="6">
        <v>0</v>
      </c>
    </row>
    <row r="714" spans="3:8" ht="15">
      <c r="C714" s="73">
        <v>208900</v>
      </c>
      <c r="D714" s="9" t="s">
        <v>1799</v>
      </c>
      <c r="G714" s="6">
        <v>0</v>
      </c>
      <c r="H714" s="6">
        <v>0</v>
      </c>
    </row>
    <row r="715" spans="3:8" ht="15">
      <c r="C715" s="74">
        <v>209000</v>
      </c>
      <c r="D715" s="75" t="s">
        <v>1800</v>
      </c>
      <c r="E715" s="75"/>
      <c r="F715" s="75"/>
      <c r="G715" s="76">
        <f>SUM(G712:G714)</f>
        <v>0</v>
      </c>
      <c r="H715" s="76">
        <f>SUM(H712:H714)</f>
        <v>0</v>
      </c>
    </row>
    <row r="716" spans="3:8" ht="15">
      <c r="C716" s="77">
        <v>209900</v>
      </c>
      <c r="D716" s="8" t="s">
        <v>1149</v>
      </c>
      <c r="E716" s="8"/>
      <c r="F716" s="8"/>
      <c r="G716" s="159">
        <f>G710+G715</f>
        <v>464424.39400000003</v>
      </c>
      <c r="H716" s="78">
        <f>H710+H715</f>
        <v>139602.236</v>
      </c>
    </row>
    <row r="717" spans="3:8" ht="15">
      <c r="C717" s="73"/>
      <c r="G717" s="6"/>
      <c r="H717" s="6"/>
    </row>
    <row r="718" spans="3:8" ht="15">
      <c r="C718" s="77">
        <v>219900</v>
      </c>
      <c r="D718" s="8" t="s">
        <v>1150</v>
      </c>
      <c r="E718" s="8"/>
      <c r="F718" s="8"/>
      <c r="G718" s="159">
        <f>H140*0.001</f>
        <v>7177783</v>
      </c>
      <c r="H718" s="78">
        <v>5331596</v>
      </c>
    </row>
    <row r="719" spans="3:8" ht="15">
      <c r="C719" s="73"/>
      <c r="G719" s="6"/>
      <c r="H719" s="6"/>
    </row>
    <row r="720" spans="3:8" ht="15">
      <c r="C720" s="73">
        <v>221200</v>
      </c>
      <c r="D720" s="9" t="s">
        <v>1151</v>
      </c>
      <c r="G720" s="6"/>
      <c r="H720" s="6"/>
    </row>
    <row r="721" spans="3:8" ht="15">
      <c r="C721" s="73">
        <v>221400</v>
      </c>
      <c r="D721" s="9" t="s">
        <v>1152</v>
      </c>
      <c r="G721" s="6">
        <f>G2233*0.001</f>
        <v>0</v>
      </c>
      <c r="H721" s="6"/>
    </row>
    <row r="722" spans="3:8" ht="15">
      <c r="C722" s="74">
        <v>222000</v>
      </c>
      <c r="D722" s="75" t="s">
        <v>1153</v>
      </c>
      <c r="E722" s="75"/>
      <c r="F722" s="75"/>
      <c r="G722" s="76">
        <f>SUM(G721)</f>
        <v>0</v>
      </c>
      <c r="H722" s="76"/>
    </row>
    <row r="723" spans="3:8" ht="15">
      <c r="C723" s="73"/>
      <c r="G723" s="6"/>
      <c r="H723" s="6"/>
    </row>
    <row r="724" spans="3:8" ht="15">
      <c r="C724" s="73">
        <v>223200</v>
      </c>
      <c r="D724" s="9" t="s">
        <v>1133</v>
      </c>
      <c r="G724" s="6">
        <f>G2237*0.001</f>
        <v>679911.8640000001</v>
      </c>
      <c r="H724" s="6">
        <f>H2237*0.001</f>
        <v>730275.706</v>
      </c>
    </row>
    <row r="725" spans="3:8" ht="15">
      <c r="C725" s="74">
        <v>224000</v>
      </c>
      <c r="D725" s="75" t="s">
        <v>1134</v>
      </c>
      <c r="E725" s="75"/>
      <c r="F725" s="75"/>
      <c r="G725" s="76">
        <f>SUM(G724)</f>
        <v>679911.8640000001</v>
      </c>
      <c r="H725" s="76">
        <f>SUM(H724)</f>
        <v>730275.706</v>
      </c>
    </row>
    <row r="726" spans="3:8" ht="15">
      <c r="C726" s="77">
        <v>229900</v>
      </c>
      <c r="D726" s="8" t="s">
        <v>1135</v>
      </c>
      <c r="E726" s="8"/>
      <c r="F726" s="8"/>
      <c r="G726" s="159">
        <f>G722+G725</f>
        <v>679911.8640000001</v>
      </c>
      <c r="H726" s="78">
        <f>H722+H725</f>
        <v>730275.706</v>
      </c>
    </row>
    <row r="727" spans="3:8" ht="15">
      <c r="C727" s="73"/>
      <c r="G727" s="6"/>
      <c r="H727" s="6"/>
    </row>
    <row r="728" spans="3:8" ht="15">
      <c r="C728" s="77">
        <v>240000</v>
      </c>
      <c r="D728" s="8" t="s">
        <v>425</v>
      </c>
      <c r="E728" s="8"/>
      <c r="F728" s="8"/>
      <c r="G728" s="78">
        <f>G718+G726</f>
        <v>7857694.864</v>
      </c>
      <c r="H728" s="78">
        <f>H718+H726</f>
        <v>6061871.706</v>
      </c>
    </row>
    <row r="729" spans="3:8" ht="15">
      <c r="C729" s="73"/>
      <c r="G729" s="6"/>
      <c r="H729" s="6"/>
    </row>
    <row r="730" spans="3:8" ht="15">
      <c r="C730" s="73">
        <v>241200</v>
      </c>
      <c r="D730" s="9" t="s">
        <v>1136</v>
      </c>
      <c r="G730" s="6">
        <v>0</v>
      </c>
      <c r="H730" s="6">
        <v>0</v>
      </c>
    </row>
    <row r="731" spans="3:8" ht="15">
      <c r="C731" s="73">
        <v>241600</v>
      </c>
      <c r="D731" s="9" t="s">
        <v>1137</v>
      </c>
      <c r="G731" s="6">
        <v>0</v>
      </c>
      <c r="H731" s="6">
        <v>0</v>
      </c>
    </row>
    <row r="732" spans="3:8" ht="15">
      <c r="C732" s="73">
        <v>241800</v>
      </c>
      <c r="D732" s="9" t="s">
        <v>1138</v>
      </c>
      <c r="G732" s="6">
        <f>(H143+H145+H147)*0.001</f>
        <v>149129.69700000001</v>
      </c>
      <c r="H732" s="6">
        <f>(94248000+54602226)*0.001</f>
        <v>148850.226</v>
      </c>
    </row>
    <row r="733" spans="3:8" ht="15">
      <c r="C733" s="74">
        <v>242000</v>
      </c>
      <c r="D733" s="75" t="s">
        <v>1139</v>
      </c>
      <c r="E733" s="75"/>
      <c r="F733" s="75"/>
      <c r="G733" s="160">
        <f>SUM(G730:G732)</f>
        <v>149129.69700000001</v>
      </c>
      <c r="H733" s="76">
        <f>SUM(H730:H732)</f>
        <v>148850.226</v>
      </c>
    </row>
    <row r="734" spans="3:8" ht="15">
      <c r="C734" s="74"/>
      <c r="D734" s="75"/>
      <c r="G734" s="6"/>
      <c r="H734" s="6"/>
    </row>
    <row r="735" spans="3:8" ht="15">
      <c r="C735" s="73">
        <v>243200</v>
      </c>
      <c r="D735" s="9" t="s">
        <v>1140</v>
      </c>
      <c r="G735" s="6">
        <v>0</v>
      </c>
      <c r="H735" s="6">
        <v>0</v>
      </c>
    </row>
    <row r="736" spans="3:8" ht="15">
      <c r="C736" s="73">
        <v>243600</v>
      </c>
      <c r="D736" s="9" t="s">
        <v>1141</v>
      </c>
      <c r="G736" s="6">
        <v>0</v>
      </c>
      <c r="H736" s="6">
        <v>0</v>
      </c>
    </row>
    <row r="737" spans="3:8" ht="15">
      <c r="C737" s="73">
        <v>243900</v>
      </c>
      <c r="D737" s="9" t="s">
        <v>1011</v>
      </c>
      <c r="G737" s="6">
        <v>0</v>
      </c>
      <c r="H737" s="6">
        <v>0</v>
      </c>
    </row>
    <row r="738" spans="3:8" ht="15">
      <c r="C738" s="74">
        <v>244000</v>
      </c>
      <c r="D738" s="75" t="s">
        <v>1800</v>
      </c>
      <c r="E738" s="75"/>
      <c r="F738" s="75"/>
      <c r="G738" s="76">
        <f>SUM(G735:G737)</f>
        <v>0</v>
      </c>
      <c r="H738" s="76">
        <f>SUM(H735:H737)</f>
        <v>0</v>
      </c>
    </row>
    <row r="739" spans="3:8" ht="15">
      <c r="C739" s="73"/>
      <c r="G739" s="6"/>
      <c r="H739" s="6"/>
    </row>
    <row r="740" spans="3:8" ht="15">
      <c r="C740" s="74">
        <v>246000</v>
      </c>
      <c r="D740" s="75" t="s">
        <v>1012</v>
      </c>
      <c r="E740" s="75"/>
      <c r="F740" s="75"/>
      <c r="G740" s="76">
        <v>0</v>
      </c>
      <c r="H740" s="76">
        <v>0</v>
      </c>
    </row>
    <row r="741" spans="3:8" ht="15">
      <c r="C741" s="77">
        <v>249900</v>
      </c>
      <c r="D741" s="8" t="s">
        <v>1013</v>
      </c>
      <c r="G741" s="78">
        <f>G733+G738+G740</f>
        <v>149129.69700000001</v>
      </c>
      <c r="H741" s="78">
        <f>H733+H738+H740</f>
        <v>148850.226</v>
      </c>
    </row>
    <row r="742" spans="3:8" ht="15">
      <c r="C742" s="73"/>
      <c r="G742" s="6"/>
      <c r="H742" s="6"/>
    </row>
    <row r="743" spans="3:8" ht="15">
      <c r="C743" s="73">
        <v>251200</v>
      </c>
      <c r="D743" s="9" t="s">
        <v>1014</v>
      </c>
      <c r="G743" s="6">
        <v>0</v>
      </c>
      <c r="H743" s="6">
        <v>0</v>
      </c>
    </row>
    <row r="744" spans="3:8" ht="15">
      <c r="C744" s="73">
        <v>251400</v>
      </c>
      <c r="D744" s="9" t="s">
        <v>1015</v>
      </c>
      <c r="G744" s="6">
        <f>G2241*0.001</f>
        <v>0</v>
      </c>
      <c r="H744" s="6">
        <v>0</v>
      </c>
    </row>
    <row r="745" spans="3:8" ht="15">
      <c r="C745" s="74">
        <v>252000</v>
      </c>
      <c r="D745" s="75" t="s">
        <v>1016</v>
      </c>
      <c r="E745" s="75"/>
      <c r="F745" s="75"/>
      <c r="G745" s="76">
        <f>SUM(G743:G744)</f>
        <v>0</v>
      </c>
      <c r="H745" s="76">
        <f>SUM(H743:H744)</f>
        <v>0</v>
      </c>
    </row>
    <row r="746" spans="3:8" ht="15">
      <c r="C746" s="73"/>
      <c r="G746" s="6"/>
      <c r="H746" s="6"/>
    </row>
    <row r="747" spans="3:8" ht="15">
      <c r="C747" s="73">
        <v>253200</v>
      </c>
      <c r="D747" s="9" t="s">
        <v>1017</v>
      </c>
      <c r="G747" s="6">
        <f>G2246*0.001</f>
        <v>50363.841</v>
      </c>
      <c r="H747" s="6">
        <f>H2246*0.001</f>
        <v>50363.841</v>
      </c>
    </row>
    <row r="748" spans="3:8" ht="15">
      <c r="C748" s="74">
        <v>254000</v>
      </c>
      <c r="D748" s="75" t="s">
        <v>1018</v>
      </c>
      <c r="E748" s="75"/>
      <c r="F748" s="75"/>
      <c r="G748" s="160">
        <f>SUM(G747)</f>
        <v>50363.841</v>
      </c>
      <c r="H748" s="76">
        <f>SUM(H747)</f>
        <v>50363.841</v>
      </c>
    </row>
    <row r="749" spans="3:8" ht="15">
      <c r="C749" s="73"/>
      <c r="G749" s="6"/>
      <c r="H749" s="6"/>
    </row>
    <row r="750" spans="3:8" ht="15">
      <c r="C750" s="73">
        <v>255000</v>
      </c>
      <c r="D750" s="9" t="s">
        <v>1019</v>
      </c>
      <c r="G750" s="6">
        <f>G2241*0.001</f>
        <v>0</v>
      </c>
      <c r="H750" s="6">
        <f>H2241*0.001</f>
        <v>0</v>
      </c>
    </row>
    <row r="751" spans="3:8" ht="15">
      <c r="C751" s="73">
        <v>255100</v>
      </c>
      <c r="D751" s="9" t="s">
        <v>1020</v>
      </c>
      <c r="G751" s="6">
        <f>H110*0.001</f>
        <v>0</v>
      </c>
      <c r="H751" s="6">
        <f>I110*0.001</f>
        <v>0</v>
      </c>
    </row>
    <row r="752" spans="3:8" ht="15">
      <c r="C752" s="73">
        <v>255200</v>
      </c>
      <c r="D752" s="9" t="s">
        <v>1021</v>
      </c>
      <c r="G752" s="6">
        <f>G2251*0.001</f>
        <v>0</v>
      </c>
      <c r="H752" s="6">
        <f>H2251*0.001</f>
        <v>5337798.726</v>
      </c>
    </row>
    <row r="753" spans="3:8" ht="15">
      <c r="C753" s="74">
        <v>256000</v>
      </c>
      <c r="D753" s="75" t="s">
        <v>749</v>
      </c>
      <c r="E753" s="75"/>
      <c r="F753" s="75"/>
      <c r="G753" s="76">
        <f>SUM(G750:G752)</f>
        <v>0</v>
      </c>
      <c r="H753" s="76">
        <f>SUM(H750:H752)</f>
        <v>5337798.726</v>
      </c>
    </row>
    <row r="754" spans="3:8" ht="15">
      <c r="C754" s="73"/>
      <c r="G754" s="6"/>
      <c r="H754" s="6"/>
    </row>
    <row r="755" spans="3:8" ht="15">
      <c r="C755" s="73">
        <v>257200</v>
      </c>
      <c r="D755" s="9" t="s">
        <v>433</v>
      </c>
      <c r="G755" s="6">
        <f>G2256*0.001</f>
        <v>31113.085</v>
      </c>
      <c r="H755" s="6">
        <f>H2256*0.001</f>
        <v>47744.385</v>
      </c>
    </row>
    <row r="756" spans="3:8" ht="15">
      <c r="C756" s="73">
        <v>257400</v>
      </c>
      <c r="D756" s="9" t="s">
        <v>434</v>
      </c>
      <c r="G756" s="6"/>
      <c r="H756" s="6"/>
    </row>
    <row r="757" spans="3:8" ht="15">
      <c r="C757" s="74">
        <v>258000</v>
      </c>
      <c r="D757" s="75" t="s">
        <v>435</v>
      </c>
      <c r="E757" s="75"/>
      <c r="F757" s="75"/>
      <c r="G757" s="160">
        <f>SUM(G755)</f>
        <v>31113.085</v>
      </c>
      <c r="H757" s="76">
        <f>SUM(H755)</f>
        <v>47744.385</v>
      </c>
    </row>
    <row r="758" spans="3:8" ht="15">
      <c r="C758" s="73"/>
      <c r="G758" s="6"/>
      <c r="H758" s="6"/>
    </row>
    <row r="759" spans="3:8" ht="15">
      <c r="C759" s="73">
        <v>258200</v>
      </c>
      <c r="D759" s="9" t="s">
        <v>741</v>
      </c>
      <c r="G759" s="6"/>
      <c r="H759" s="6"/>
    </row>
    <row r="760" spans="3:8" ht="15">
      <c r="C760" s="74">
        <v>259000</v>
      </c>
      <c r="D760" s="75" t="s">
        <v>742</v>
      </c>
      <c r="E760" s="75"/>
      <c r="F760" s="75"/>
      <c r="G760" s="76"/>
      <c r="H760" s="76"/>
    </row>
    <row r="761" spans="3:8" ht="15">
      <c r="C761" s="77">
        <v>259900</v>
      </c>
      <c r="D761" s="8" t="s">
        <v>743</v>
      </c>
      <c r="E761" s="8"/>
      <c r="F761" s="8"/>
      <c r="G761" s="159">
        <f>G745+G748+G753+G757+G760</f>
        <v>81476.926</v>
      </c>
      <c r="H761" s="78">
        <f>H745+H748+H753+H757+H760</f>
        <v>5435906.952</v>
      </c>
    </row>
    <row r="762" spans="3:8" ht="15">
      <c r="C762" s="73"/>
      <c r="G762" s="6"/>
      <c r="H762" s="6"/>
    </row>
    <row r="763" spans="3:8" ht="15">
      <c r="C763" s="73">
        <v>261200</v>
      </c>
      <c r="D763" s="9" t="s">
        <v>577</v>
      </c>
      <c r="G763" s="6">
        <f>G2262*0.001</f>
        <v>835435.71231</v>
      </c>
      <c r="H763" s="6">
        <f>H2262*0.001</f>
        <v>730816.388</v>
      </c>
    </row>
    <row r="764" spans="3:8" ht="15">
      <c r="C764" s="73">
        <v>261400</v>
      </c>
      <c r="D764" s="9" t="s">
        <v>578</v>
      </c>
      <c r="G764" s="6">
        <f>G2266*0.001</f>
        <v>1773824.655</v>
      </c>
      <c r="H764" s="6">
        <f>H2266*0.001</f>
        <v>3899440.472</v>
      </c>
    </row>
    <row r="765" spans="3:8" ht="15">
      <c r="C765" s="74">
        <v>262000</v>
      </c>
      <c r="D765" s="75" t="s">
        <v>1749</v>
      </c>
      <c r="E765" s="75"/>
      <c r="F765" s="75"/>
      <c r="G765" s="76">
        <f>SUM(G763:G764)</f>
        <v>2609260.36731</v>
      </c>
      <c r="H765" s="76">
        <f>SUM(H763:H764)</f>
        <v>4630256.86</v>
      </c>
    </row>
    <row r="766" spans="3:8" ht="15">
      <c r="C766" s="73"/>
      <c r="G766" s="6"/>
      <c r="H766" s="6"/>
    </row>
    <row r="767" spans="3:8" ht="15">
      <c r="C767" s="73">
        <v>263200</v>
      </c>
      <c r="D767" s="9" t="s">
        <v>1750</v>
      </c>
      <c r="G767" s="6">
        <f>(G2292*0.001)</f>
        <v>2922660.40157</v>
      </c>
      <c r="H767" s="6">
        <f>H2292*0.001</f>
        <v>3054484.614</v>
      </c>
    </row>
    <row r="768" spans="3:8" ht="15">
      <c r="C768" s="73">
        <v>263600</v>
      </c>
      <c r="D768" s="9" t="s">
        <v>428</v>
      </c>
      <c r="G768" s="6">
        <f>G2312*0.001</f>
        <v>39735.522</v>
      </c>
      <c r="H768" s="6">
        <f>H2312*0.001</f>
        <v>105626.91500000001</v>
      </c>
    </row>
    <row r="769" spans="3:8" ht="15">
      <c r="C769" s="74">
        <v>264000</v>
      </c>
      <c r="D769" s="75" t="s">
        <v>1751</v>
      </c>
      <c r="E769" s="75"/>
      <c r="F769" s="75"/>
      <c r="G769" s="76">
        <f>SUM(G767:G768)</f>
        <v>2962395.92357</v>
      </c>
      <c r="H769" s="76">
        <f>SUM(H767:H768)</f>
        <v>3160111.529</v>
      </c>
    </row>
    <row r="770" spans="3:8" ht="15">
      <c r="C770" s="74">
        <v>269900</v>
      </c>
      <c r="D770" s="75" t="s">
        <v>1752</v>
      </c>
      <c r="E770" s="75"/>
      <c r="F770" s="75"/>
      <c r="G770" s="160">
        <f>G765+G769</f>
        <v>5571656.29088</v>
      </c>
      <c r="H770" s="76">
        <f>H765+H769</f>
        <v>7790368.389</v>
      </c>
    </row>
    <row r="771" spans="3:8" ht="15">
      <c r="C771" s="73"/>
      <c r="G771" s="6"/>
      <c r="H771" s="6"/>
    </row>
    <row r="772" spans="3:8" ht="15">
      <c r="C772" s="77">
        <v>279900</v>
      </c>
      <c r="D772" s="8" t="s">
        <v>429</v>
      </c>
      <c r="E772" s="8"/>
      <c r="F772" s="8"/>
      <c r="G772" s="159">
        <f>(H138-G138)*0.001</f>
        <v>461916.2</v>
      </c>
      <c r="H772" s="78">
        <v>-26552</v>
      </c>
    </row>
    <row r="773" spans="3:8" ht="15">
      <c r="C773" s="73"/>
      <c r="G773" s="6"/>
      <c r="H773" s="6"/>
    </row>
    <row r="774" spans="3:8" ht="15">
      <c r="C774" s="77">
        <v>290900</v>
      </c>
      <c r="D774" s="8" t="s">
        <v>1753</v>
      </c>
      <c r="E774" s="8"/>
      <c r="F774" s="8"/>
      <c r="G774" s="78">
        <f>G705+G716+G728+G741+G761+G770+G772</f>
        <v>52027441.801160015</v>
      </c>
      <c r="H774" s="78">
        <f>H705+H716+H728+H741+H761+H770+H772</f>
        <v>43117667.933</v>
      </c>
    </row>
    <row r="775" ht="15">
      <c r="C775" s="73"/>
    </row>
    <row r="776" ht="15">
      <c r="C776" s="73"/>
    </row>
    <row r="777" ht="15">
      <c r="C777" s="73"/>
    </row>
    <row r="778" ht="15">
      <c r="C778" s="77" t="s">
        <v>1707</v>
      </c>
    </row>
    <row r="779" ht="15">
      <c r="C779" s="73"/>
    </row>
    <row r="780" spans="3:7" ht="15">
      <c r="C780" s="73"/>
      <c r="F780" s="9" t="s">
        <v>1708</v>
      </c>
      <c r="G780" s="6">
        <f>G693-G774</f>
        <v>0.000599987804889679</v>
      </c>
    </row>
    <row r="781" spans="1:12" ht="15">
      <c r="A781" s="66"/>
      <c r="B781" s="66"/>
      <c r="C781" s="66"/>
      <c r="D781" s="66"/>
      <c r="E781" s="66"/>
      <c r="F781" s="66"/>
      <c r="G781" s="67"/>
      <c r="H781" s="67"/>
      <c r="I781" s="31"/>
      <c r="J781" s="31"/>
      <c r="K781" s="31"/>
      <c r="L781" s="31"/>
    </row>
    <row r="782" spans="1:8" ht="15">
      <c r="A782" s="66"/>
      <c r="B782" s="66"/>
      <c r="C782" s="66" t="s">
        <v>1111</v>
      </c>
      <c r="D782" s="66"/>
      <c r="E782" s="66"/>
      <c r="F782" s="66"/>
      <c r="G782" s="67"/>
      <c r="H782" s="67"/>
    </row>
    <row r="783" spans="1:8" ht="15">
      <c r="A783" s="66"/>
      <c r="B783" s="66"/>
      <c r="C783" s="66"/>
      <c r="D783" s="66"/>
      <c r="E783" s="66"/>
      <c r="F783" s="66"/>
      <c r="G783" s="67"/>
      <c r="H783" s="67"/>
    </row>
    <row r="784" spans="1:8" ht="15">
      <c r="A784" s="66"/>
      <c r="B784" s="66"/>
      <c r="C784" s="66"/>
      <c r="D784" s="66"/>
      <c r="E784" s="66"/>
      <c r="F784" s="66"/>
      <c r="G784" s="67"/>
      <c r="H784" s="67"/>
    </row>
    <row r="785" spans="1:8" ht="15">
      <c r="A785" s="66"/>
      <c r="B785" s="66"/>
      <c r="C785" s="66"/>
      <c r="D785" s="66"/>
      <c r="E785" s="66"/>
      <c r="F785" s="66"/>
      <c r="G785" s="67"/>
      <c r="H785" s="67"/>
    </row>
    <row r="786" spans="1:8" ht="15">
      <c r="A786" s="66"/>
      <c r="B786" s="66"/>
      <c r="C786" s="66"/>
      <c r="D786" s="66"/>
      <c r="E786" s="66"/>
      <c r="F786" s="66"/>
      <c r="G786" s="67"/>
      <c r="H786" s="67"/>
    </row>
    <row r="787" spans="1:8" ht="15">
      <c r="A787" s="66"/>
      <c r="B787" s="66"/>
      <c r="C787" s="66" t="s">
        <v>1673</v>
      </c>
      <c r="D787" s="66" t="s">
        <v>1709</v>
      </c>
      <c r="E787" s="66"/>
      <c r="F787" s="66"/>
      <c r="G787" s="67"/>
      <c r="H787" s="67"/>
    </row>
    <row r="788" spans="1:8" ht="15">
      <c r="A788" s="66"/>
      <c r="B788" s="66"/>
      <c r="C788" s="66"/>
      <c r="D788" s="66"/>
      <c r="E788" s="66"/>
      <c r="F788" s="66"/>
      <c r="G788" s="67"/>
      <c r="H788" s="67"/>
    </row>
    <row r="789" spans="1:8" ht="15">
      <c r="A789" s="66"/>
      <c r="B789" s="66"/>
      <c r="C789" s="66"/>
      <c r="D789" s="66"/>
      <c r="E789" s="66"/>
      <c r="F789" s="66"/>
      <c r="G789" s="67"/>
      <c r="H789" s="67"/>
    </row>
    <row r="790" spans="1:8" ht="15">
      <c r="A790" s="66"/>
      <c r="B790" s="66"/>
      <c r="C790" s="66"/>
      <c r="D790" s="66"/>
      <c r="E790" s="66"/>
      <c r="F790" s="66"/>
      <c r="G790" s="79">
        <v>2005</v>
      </c>
      <c r="H790" s="79">
        <v>2004</v>
      </c>
    </row>
    <row r="791" spans="1:8" ht="15">
      <c r="A791" s="66"/>
      <c r="B791" s="66"/>
      <c r="C791" s="66"/>
      <c r="D791" s="66"/>
      <c r="E791" s="66"/>
      <c r="F791" s="66"/>
      <c r="G791" s="79"/>
      <c r="H791" s="79"/>
    </row>
    <row r="792" spans="1:8" ht="16.5">
      <c r="A792" s="66"/>
      <c r="B792" s="66"/>
      <c r="C792" s="66"/>
      <c r="D792" s="66"/>
      <c r="E792" s="66"/>
      <c r="F792" s="66"/>
      <c r="G792" s="80" t="s">
        <v>1113</v>
      </c>
      <c r="H792" s="80" t="s">
        <v>1113</v>
      </c>
    </row>
    <row r="793" spans="3:8" ht="15">
      <c r="C793" s="73">
        <v>300000</v>
      </c>
      <c r="D793" s="9" t="s">
        <v>430</v>
      </c>
      <c r="G793" s="6">
        <f>G1402*0.001</f>
        <v>69038625.77757001</v>
      </c>
      <c r="H793" s="6">
        <f>H1402*0.001</f>
        <v>55157190.426</v>
      </c>
    </row>
    <row r="794" spans="3:8" ht="15">
      <c r="C794" s="73">
        <v>300999</v>
      </c>
      <c r="D794" s="8" t="s">
        <v>109</v>
      </c>
      <c r="E794" s="8"/>
      <c r="F794" s="8"/>
      <c r="G794" s="78">
        <f>SUM(G793)</f>
        <v>69038625.77757001</v>
      </c>
      <c r="H794" s="78">
        <f>SUM(H793)</f>
        <v>55157190.426</v>
      </c>
    </row>
    <row r="795" spans="3:8" ht="15">
      <c r="C795" s="73"/>
      <c r="G795" s="6"/>
      <c r="H795" s="6"/>
    </row>
    <row r="796" spans="3:8" ht="15">
      <c r="C796" s="73"/>
      <c r="D796" s="81" t="s">
        <v>1879</v>
      </c>
      <c r="G796" s="6"/>
      <c r="H796" s="6"/>
    </row>
    <row r="797" spans="3:8" ht="15">
      <c r="C797" s="73">
        <v>301450</v>
      </c>
      <c r="D797" s="9" t="s">
        <v>1880</v>
      </c>
      <c r="G797" s="6">
        <f>G1415*0.001</f>
        <v>38714.56857</v>
      </c>
      <c r="H797" s="6">
        <f>H1415*0.001</f>
        <v>46191.098</v>
      </c>
    </row>
    <row r="798" spans="3:8" ht="15">
      <c r="C798" s="73">
        <v>301560</v>
      </c>
      <c r="D798" s="9" t="s">
        <v>1881</v>
      </c>
      <c r="G798" s="6">
        <v>0</v>
      </c>
      <c r="H798" s="6">
        <v>0</v>
      </c>
    </row>
    <row r="799" spans="3:8" ht="15">
      <c r="C799" s="73">
        <v>301570</v>
      </c>
      <c r="D799" s="9" t="s">
        <v>1882</v>
      </c>
      <c r="G799" s="6">
        <f>G534*0.001</f>
        <v>316355.25</v>
      </c>
      <c r="H799" s="6">
        <v>335891</v>
      </c>
    </row>
    <row r="800" spans="3:8" ht="15">
      <c r="C800" s="73">
        <v>301750</v>
      </c>
      <c r="D800" s="9" t="s">
        <v>1883</v>
      </c>
      <c r="G800" s="6">
        <f>G1435*0.001</f>
        <v>102465.66148000001</v>
      </c>
      <c r="H800" s="6">
        <f>H1435*0.001</f>
        <v>72380.538</v>
      </c>
    </row>
    <row r="801" spans="3:8" ht="15">
      <c r="C801" s="73">
        <v>301999</v>
      </c>
      <c r="D801" s="9" t="s">
        <v>1884</v>
      </c>
      <c r="G801" s="6">
        <f>SUM(G797:G800)</f>
        <v>457535.48005</v>
      </c>
      <c r="H801" s="6">
        <f>SUM(H797:H800)</f>
        <v>454462.636</v>
      </c>
    </row>
    <row r="802" spans="3:8" ht="15">
      <c r="C802" s="73"/>
      <c r="G802" s="6"/>
      <c r="H802" s="6"/>
    </row>
    <row r="803" spans="3:8" ht="15">
      <c r="C803" s="73">
        <v>302999</v>
      </c>
      <c r="D803" s="8" t="s">
        <v>1885</v>
      </c>
      <c r="E803" s="8"/>
      <c r="F803" s="8"/>
      <c r="G803" s="78">
        <f>G794-G801</f>
        <v>68581090.29752001</v>
      </c>
      <c r="H803" s="78">
        <f>H794-H801</f>
        <v>54702727.79</v>
      </c>
    </row>
    <row r="804" spans="3:8" ht="15">
      <c r="C804" s="73"/>
      <c r="G804" s="6"/>
      <c r="H804" s="6"/>
    </row>
    <row r="805" spans="3:8" ht="15">
      <c r="C805" s="73"/>
      <c r="D805" s="81" t="s">
        <v>1886</v>
      </c>
      <c r="G805" s="6"/>
      <c r="H805" s="6"/>
    </row>
    <row r="806" spans="3:8" ht="15">
      <c r="C806" s="73">
        <v>303300</v>
      </c>
      <c r="D806" s="9" t="s">
        <v>1887</v>
      </c>
      <c r="G806" s="6">
        <f>G1446*0.001</f>
        <v>16835758.321</v>
      </c>
      <c r="H806" s="6">
        <f>H1446*0.001</f>
        <v>16659635.4</v>
      </c>
    </row>
    <row r="807" spans="3:8" ht="15">
      <c r="C807" s="73">
        <v>303310</v>
      </c>
      <c r="D807" s="9" t="s">
        <v>1888</v>
      </c>
      <c r="G807" s="6">
        <f>G1453*0.001</f>
        <v>2719563.2198900003</v>
      </c>
      <c r="H807" s="6">
        <f>H1453*0.001</f>
        <v>2136443.364</v>
      </c>
    </row>
    <row r="808" spans="3:8" ht="15">
      <c r="C808" s="73">
        <v>303320</v>
      </c>
      <c r="D808" s="9" t="s">
        <v>1889</v>
      </c>
      <c r="G808" s="6">
        <f>G1462*0.001</f>
        <v>3988694.6010000003</v>
      </c>
      <c r="H808" s="6">
        <f>H1462*0.001</f>
        <v>2723357.361</v>
      </c>
    </row>
    <row r="809" spans="3:8" ht="15">
      <c r="C809" s="73">
        <v>303330</v>
      </c>
      <c r="D809" s="9" t="s">
        <v>1890</v>
      </c>
      <c r="G809" s="6">
        <f>G1470*0.001</f>
        <v>4727497.734</v>
      </c>
      <c r="H809" s="6">
        <f>H1470*0.001</f>
        <v>3057366.468</v>
      </c>
    </row>
    <row r="810" spans="3:8" ht="15">
      <c r="C810" s="73">
        <v>303350</v>
      </c>
      <c r="D810" s="9" t="s">
        <v>1891</v>
      </c>
      <c r="G810" s="6">
        <f>G1485*0.001</f>
        <v>1137216.08299</v>
      </c>
      <c r="H810" s="6">
        <f>H1485*0.001</f>
        <v>832230.8520000001</v>
      </c>
    </row>
    <row r="811" spans="3:8" ht="15">
      <c r="C811" s="73">
        <v>303370</v>
      </c>
      <c r="D811" s="9" t="s">
        <v>1892</v>
      </c>
      <c r="G811" s="6">
        <v>0</v>
      </c>
      <c r="H811" s="6">
        <v>0</v>
      </c>
    </row>
    <row r="812" spans="3:8" ht="15">
      <c r="C812" s="73">
        <v>303380</v>
      </c>
      <c r="D812" s="9" t="s">
        <v>1893</v>
      </c>
      <c r="G812" s="6">
        <v>0</v>
      </c>
      <c r="H812" s="6">
        <v>0</v>
      </c>
    </row>
    <row r="813" spans="3:8" ht="15">
      <c r="C813" s="73">
        <v>303110</v>
      </c>
      <c r="D813" s="9" t="s">
        <v>1960</v>
      </c>
      <c r="G813" s="6">
        <f>G1490*0.001</f>
        <v>-650208.008</v>
      </c>
      <c r="H813" s="6">
        <f>H1490*0.001</f>
        <v>1690403.516</v>
      </c>
    </row>
    <row r="814" spans="3:8" ht="15">
      <c r="C814" s="73">
        <v>303450</v>
      </c>
      <c r="D814" s="9" t="s">
        <v>1961</v>
      </c>
      <c r="G814" s="6"/>
      <c r="H814" s="6"/>
    </row>
    <row r="815" spans="3:8" ht="15">
      <c r="C815" s="73">
        <v>303999</v>
      </c>
      <c r="D815" s="8" t="s">
        <v>1962</v>
      </c>
      <c r="E815" s="8"/>
      <c r="F815" s="8"/>
      <c r="G815" s="78">
        <f>SUM(G806:G814)</f>
        <v>28758521.95088</v>
      </c>
      <c r="H815" s="78">
        <f>SUM(H806:H814)</f>
        <v>27099436.961</v>
      </c>
    </row>
    <row r="816" spans="3:8" ht="15">
      <c r="C816" s="73"/>
      <c r="G816" s="6"/>
      <c r="H816" s="6"/>
    </row>
    <row r="817" spans="3:8" ht="15">
      <c r="C817" s="73">
        <v>304999</v>
      </c>
      <c r="D817" s="8" t="s">
        <v>1963</v>
      </c>
      <c r="E817" s="8"/>
      <c r="F817" s="8"/>
      <c r="G817" s="78">
        <f>G803-G815</f>
        <v>39822568.34664001</v>
      </c>
      <c r="H817" s="78">
        <f>H803-H815</f>
        <v>27603290.829</v>
      </c>
    </row>
    <row r="818" spans="3:8" ht="15">
      <c r="C818" s="73"/>
      <c r="G818" s="6"/>
      <c r="H818" s="6"/>
    </row>
    <row r="819" spans="3:8" ht="15">
      <c r="C819" s="73"/>
      <c r="D819" s="81" t="s">
        <v>1964</v>
      </c>
      <c r="G819" s="6"/>
      <c r="H819" s="6"/>
    </row>
    <row r="820" spans="3:8" ht="15">
      <c r="C820" s="73">
        <v>305320</v>
      </c>
      <c r="D820" s="9" t="s">
        <v>1898</v>
      </c>
      <c r="G820" s="6"/>
      <c r="H820" s="6"/>
    </row>
    <row r="821" spans="3:8" ht="15">
      <c r="C821" s="73">
        <v>305330</v>
      </c>
      <c r="D821" s="9" t="s">
        <v>1899</v>
      </c>
      <c r="G821" s="6"/>
      <c r="H821" s="6"/>
    </row>
    <row r="822" spans="3:8" ht="15">
      <c r="C822" s="73">
        <v>305450</v>
      </c>
      <c r="D822" s="9" t="s">
        <v>1900</v>
      </c>
      <c r="G822" s="6">
        <f>G1603*0.001</f>
        <v>1998783.4884900001</v>
      </c>
      <c r="H822" s="6">
        <f>H1603*0.001</f>
        <v>2083331.7950000002</v>
      </c>
    </row>
    <row r="823" spans="3:8" ht="15">
      <c r="C823" s="73">
        <v>305520</v>
      </c>
      <c r="D823" s="9" t="s">
        <v>1901</v>
      </c>
      <c r="G823" s="6">
        <f>G1610*0.001</f>
        <v>142971.95548</v>
      </c>
      <c r="H823" s="6">
        <f>H1610*0.001</f>
        <v>270138.683</v>
      </c>
    </row>
    <row r="824" spans="3:8" ht="15">
      <c r="C824" s="73">
        <v>305530</v>
      </c>
      <c r="D824" s="9" t="s">
        <v>1902</v>
      </c>
      <c r="G824" s="6">
        <f>G1618*0.001</f>
        <v>491459.97947</v>
      </c>
      <c r="H824" s="6">
        <f>H1618*0.001</f>
        <v>564318.598</v>
      </c>
    </row>
    <row r="825" spans="3:8" ht="15">
      <c r="C825" s="73">
        <v>305540</v>
      </c>
      <c r="D825" s="9" t="s">
        <v>1903</v>
      </c>
      <c r="G825" s="6">
        <f>G1675*0.001</f>
        <v>561576.93129</v>
      </c>
      <c r="H825" s="6">
        <f>H1675*0.001</f>
        <v>292612.636</v>
      </c>
    </row>
    <row r="826" spans="3:8" ht="15">
      <c r="C826" s="73">
        <v>305660</v>
      </c>
      <c r="D826" s="9" t="s">
        <v>1904</v>
      </c>
      <c r="G826" s="6">
        <v>0</v>
      </c>
      <c r="H826" s="6">
        <v>0</v>
      </c>
    </row>
    <row r="827" spans="3:8" ht="15">
      <c r="C827" s="73">
        <v>305350</v>
      </c>
      <c r="D827" s="9" t="s">
        <v>1905</v>
      </c>
      <c r="G827" s="6">
        <f>G1699*0.001</f>
        <v>3437285.7010999997</v>
      </c>
      <c r="H827" s="6">
        <f>H1699*0.001</f>
        <v>2839223.012</v>
      </c>
    </row>
    <row r="828" spans="3:8" ht="15">
      <c r="C828" s="73">
        <v>305750</v>
      </c>
      <c r="D828" s="9" t="s">
        <v>1906</v>
      </c>
      <c r="G828" s="6">
        <v>0</v>
      </c>
      <c r="H828" s="6">
        <v>0</v>
      </c>
    </row>
    <row r="829" spans="3:8" ht="15">
      <c r="C829" s="73">
        <v>305999</v>
      </c>
      <c r="D829" s="81" t="s">
        <v>1907</v>
      </c>
      <c r="E829" s="81"/>
      <c r="F829" s="81"/>
      <c r="G829" s="82">
        <f>SUM(G822:G828)</f>
        <v>6632078.05583</v>
      </c>
      <c r="H829" s="82">
        <f>SUM(H822:H828)</f>
        <v>6049624.724</v>
      </c>
    </row>
    <row r="830" spans="3:8" ht="15">
      <c r="C830" s="73"/>
      <c r="G830" s="6"/>
      <c r="H830" s="6"/>
    </row>
    <row r="831" spans="3:8" ht="15">
      <c r="C831" s="73"/>
      <c r="D831" s="81" t="s">
        <v>1908</v>
      </c>
      <c r="G831" s="6"/>
      <c r="H831" s="6"/>
    </row>
    <row r="832" spans="3:8" ht="15">
      <c r="C832" s="73">
        <v>306450</v>
      </c>
      <c r="D832" s="9" t="s">
        <v>1503</v>
      </c>
      <c r="G832" s="6">
        <f>G1726*0.001</f>
        <v>87112.66616000001</v>
      </c>
      <c r="H832" s="6">
        <f>H1726*0.001</f>
        <v>91394.948</v>
      </c>
    </row>
    <row r="833" spans="3:8" ht="15">
      <c r="C833" s="73">
        <v>306520</v>
      </c>
      <c r="D833" s="9" t="s">
        <v>1504</v>
      </c>
      <c r="G833" s="6">
        <v>0</v>
      </c>
      <c r="H833" s="6">
        <v>0</v>
      </c>
    </row>
    <row r="834" spans="3:8" ht="15">
      <c r="C834" s="73">
        <v>306530</v>
      </c>
      <c r="D834" s="9" t="s">
        <v>1505</v>
      </c>
      <c r="G834" s="6">
        <f>G1732*0.001</f>
        <v>0</v>
      </c>
      <c r="H834" s="6">
        <f>H1732*0.001</f>
        <v>0</v>
      </c>
    </row>
    <row r="835" spans="3:8" ht="15">
      <c r="C835" s="73">
        <v>306540</v>
      </c>
      <c r="D835" s="9" t="s">
        <v>1506</v>
      </c>
      <c r="G835" s="6">
        <v>0</v>
      </c>
      <c r="H835" s="6">
        <v>0</v>
      </c>
    </row>
    <row r="836" spans="3:8" ht="15">
      <c r="C836" s="73">
        <v>306580</v>
      </c>
      <c r="D836" s="9" t="s">
        <v>1507</v>
      </c>
      <c r="G836" s="6">
        <f>G1740*0.001</f>
        <v>527190.482</v>
      </c>
      <c r="H836" s="6">
        <f>H1740*0.001</f>
        <v>528897.292</v>
      </c>
    </row>
    <row r="837" spans="3:8" ht="15">
      <c r="C837" s="73">
        <v>306710</v>
      </c>
      <c r="D837" s="9" t="s">
        <v>1508</v>
      </c>
      <c r="G837" s="6">
        <f>G1746*0.001</f>
        <v>238775.127</v>
      </c>
      <c r="H837" s="6">
        <f>H1746*0.001</f>
        <v>207268.393</v>
      </c>
    </row>
    <row r="838" spans="3:8" ht="15">
      <c r="C838" s="73">
        <v>306170</v>
      </c>
      <c r="D838" s="9" t="s">
        <v>1509</v>
      </c>
      <c r="G838" s="6">
        <v>0</v>
      </c>
      <c r="H838" s="6">
        <v>0</v>
      </c>
    </row>
    <row r="839" spans="3:8" ht="15">
      <c r="C839" s="73">
        <v>306750</v>
      </c>
      <c r="D839" s="9" t="s">
        <v>1510</v>
      </c>
      <c r="G839" s="6">
        <f>G1763*0.001</f>
        <v>41061.759210000004</v>
      </c>
      <c r="H839" s="6">
        <f>H1763*0.001</f>
        <v>88930.383</v>
      </c>
    </row>
    <row r="840" spans="3:8" ht="15">
      <c r="C840" s="73">
        <v>306999</v>
      </c>
      <c r="D840" s="81" t="s">
        <v>1511</v>
      </c>
      <c r="E840" s="81"/>
      <c r="F840" s="81"/>
      <c r="G840" s="82">
        <f>SUM(G832:G839)</f>
        <v>894140.03437</v>
      </c>
      <c r="H840" s="82">
        <f>SUM(H832:H839)</f>
        <v>916491.0160000001</v>
      </c>
    </row>
    <row r="841" spans="3:8" ht="15">
      <c r="C841" s="73"/>
      <c r="G841" s="6"/>
      <c r="H841" s="6"/>
    </row>
    <row r="842" spans="3:8" ht="15">
      <c r="C842" s="73"/>
      <c r="D842" s="81" t="s">
        <v>1512</v>
      </c>
      <c r="G842" s="6"/>
      <c r="H842" s="6"/>
    </row>
    <row r="843" spans="3:8" ht="15">
      <c r="C843" s="73">
        <v>307340</v>
      </c>
      <c r="D843" s="9" t="s">
        <v>1513</v>
      </c>
      <c r="G843" s="6">
        <f>G1773*0.001</f>
        <v>94201.39266</v>
      </c>
      <c r="H843" s="6">
        <f>H1773*0.001</f>
        <v>85883.67</v>
      </c>
    </row>
    <row r="844" spans="3:8" ht="15">
      <c r="C844" s="73">
        <v>307450</v>
      </c>
      <c r="D844" s="9" t="s">
        <v>340</v>
      </c>
      <c r="G844" s="6">
        <f>G1861*0.001</f>
        <v>2073274.9913899994</v>
      </c>
      <c r="H844" s="6">
        <f>H1861*0.001</f>
        <v>1407100.187</v>
      </c>
    </row>
    <row r="845" spans="3:8" ht="15">
      <c r="C845" s="73">
        <v>307500</v>
      </c>
      <c r="D845" s="9" t="s">
        <v>341</v>
      </c>
      <c r="G845" s="6">
        <f>G1865*0.001</f>
        <v>242655.115</v>
      </c>
      <c r="H845" s="6">
        <f>H1865*0.001</f>
        <v>235166.785</v>
      </c>
    </row>
    <row r="846" spans="3:8" ht="15">
      <c r="C846" s="73">
        <v>307510</v>
      </c>
      <c r="D846" s="9" t="s">
        <v>342</v>
      </c>
      <c r="G846" s="6">
        <f>G1870*0.001</f>
        <v>75701.43567</v>
      </c>
      <c r="H846" s="6">
        <f>H1870*0.001</f>
        <v>24066.602</v>
      </c>
    </row>
    <row r="847" spans="3:8" ht="15">
      <c r="C847" s="73">
        <v>307520</v>
      </c>
      <c r="D847" s="9" t="s">
        <v>343</v>
      </c>
      <c r="G847" s="6">
        <f>G1882*0.001</f>
        <v>371600.03920999996</v>
      </c>
      <c r="H847" s="6">
        <f>H1882*0.001</f>
        <v>192649.627</v>
      </c>
    </row>
    <row r="848" spans="3:8" ht="15">
      <c r="C848" s="73">
        <v>307530</v>
      </c>
      <c r="D848" s="9" t="s">
        <v>344</v>
      </c>
      <c r="G848" s="6">
        <f>G1890*0.001</f>
        <v>392778.07552</v>
      </c>
      <c r="H848" s="6">
        <f>H1890*0.001</f>
        <v>398378.067</v>
      </c>
    </row>
    <row r="849" spans="3:8" ht="15">
      <c r="C849" s="73">
        <v>307540</v>
      </c>
      <c r="D849" s="9" t="s">
        <v>345</v>
      </c>
      <c r="G849" s="6">
        <f>G1929*0.001</f>
        <v>178362.16346</v>
      </c>
      <c r="H849" s="6">
        <f>H1929*0.001</f>
        <v>223809.367</v>
      </c>
    </row>
    <row r="850" spans="3:8" ht="15">
      <c r="C850" s="73">
        <v>307550</v>
      </c>
      <c r="D850" s="9" t="s">
        <v>346</v>
      </c>
      <c r="G850" s="6">
        <f>G1934*0.001</f>
        <v>1952213.4070000001</v>
      </c>
      <c r="H850" s="6">
        <f>H1934*0.001</f>
        <v>2003855.267</v>
      </c>
    </row>
    <row r="851" spans="3:8" ht="15">
      <c r="C851" s="73">
        <v>307750</v>
      </c>
      <c r="D851" s="9" t="s">
        <v>347</v>
      </c>
      <c r="G851" s="6">
        <f>G1967*0.001</f>
        <v>1291527.36534</v>
      </c>
      <c r="H851" s="6">
        <f>H1967*0.001</f>
        <v>1339518.243</v>
      </c>
    </row>
    <row r="852" spans="3:8" ht="15">
      <c r="C852" s="73">
        <v>307999</v>
      </c>
      <c r="D852" s="81" t="s">
        <v>348</v>
      </c>
      <c r="E852" s="81"/>
      <c r="F852" s="81"/>
      <c r="G852" s="82">
        <f>SUM(G843:G851)</f>
        <v>6672313.98525</v>
      </c>
      <c r="H852" s="82">
        <f>SUM(H843:H851)</f>
        <v>5910427.8149999995</v>
      </c>
    </row>
    <row r="853" spans="3:8" ht="15">
      <c r="C853" s="73">
        <v>308999</v>
      </c>
      <c r="D853" s="8" t="s">
        <v>349</v>
      </c>
      <c r="E853" s="8"/>
      <c r="F853" s="8"/>
      <c r="G853" s="78">
        <f>G829+G840+G852</f>
        <v>14198532.07545</v>
      </c>
      <c r="H853" s="78">
        <f>H829+H840+H852</f>
        <v>12876543.555</v>
      </c>
    </row>
    <row r="854" spans="3:8" ht="15">
      <c r="C854" s="73"/>
      <c r="G854" s="6"/>
      <c r="H854" s="6"/>
    </row>
    <row r="855" spans="3:8" ht="15">
      <c r="C855" s="73"/>
      <c r="D855" s="81" t="s">
        <v>431</v>
      </c>
      <c r="G855" s="6"/>
      <c r="H855" s="6"/>
    </row>
    <row r="856" spans="3:8" ht="15">
      <c r="C856" s="73">
        <v>309150</v>
      </c>
      <c r="D856" s="9" t="s">
        <v>350</v>
      </c>
      <c r="G856" s="6">
        <v>0</v>
      </c>
      <c r="H856" s="6">
        <v>0</v>
      </c>
    </row>
    <row r="857" spans="3:8" ht="15">
      <c r="C857" s="73">
        <v>309160</v>
      </c>
      <c r="D857" s="9" t="s">
        <v>351</v>
      </c>
      <c r="G857" s="6">
        <f>G1974*0.001</f>
        <v>27055.027000000002</v>
      </c>
      <c r="H857" s="6">
        <f>H1974*0.001</f>
        <v>14943.667</v>
      </c>
    </row>
    <row r="858" spans="3:8" ht="15">
      <c r="C858" s="73">
        <v>309190</v>
      </c>
      <c r="D858" s="9" t="s">
        <v>352</v>
      </c>
      <c r="G858" s="6">
        <f>G1978*0.001</f>
        <v>23166.547000000002</v>
      </c>
      <c r="H858" s="6">
        <f>H1978*0.001</f>
        <v>2549.011</v>
      </c>
    </row>
    <row r="859" spans="3:8" ht="15">
      <c r="C859" s="73">
        <v>309240</v>
      </c>
      <c r="D859" s="9" t="s">
        <v>353</v>
      </c>
      <c r="G859" s="6">
        <v>0</v>
      </c>
      <c r="H859" s="6">
        <v>0</v>
      </c>
    </row>
    <row r="860" spans="3:8" ht="15">
      <c r="C860" s="73">
        <v>309260</v>
      </c>
      <c r="D860" s="9" t="s">
        <v>354</v>
      </c>
      <c r="G860" s="6">
        <f>G1984*0.001</f>
        <v>968885.11</v>
      </c>
      <c r="H860" s="6">
        <f>H1984*0.001</f>
        <v>185185.986</v>
      </c>
    </row>
    <row r="861" spans="3:8" ht="15">
      <c r="C861" s="73">
        <v>309680</v>
      </c>
      <c r="D861" s="9" t="s">
        <v>355</v>
      </c>
      <c r="G861" s="6">
        <f>-G625*0.001</f>
        <v>-905.097</v>
      </c>
      <c r="H861" s="6">
        <f>H625*0.001</f>
        <v>0</v>
      </c>
    </row>
    <row r="862" spans="3:8" ht="15">
      <c r="C862" s="73">
        <v>309720</v>
      </c>
      <c r="D862" s="9" t="s">
        <v>356</v>
      </c>
      <c r="G862" s="6">
        <f>-G1993*0.001</f>
        <v>-28762.626</v>
      </c>
      <c r="H862" s="6">
        <f>H1993*0.001</f>
        <v>-43032.021</v>
      </c>
    </row>
    <row r="863" spans="3:8" ht="15">
      <c r="C863" s="73">
        <v>309730</v>
      </c>
      <c r="D863" s="9" t="s">
        <v>357</v>
      </c>
      <c r="G863" s="6">
        <f>-G1999*0.001</f>
        <v>-240221.813</v>
      </c>
      <c r="H863" s="6">
        <f>-H1999*0.001</f>
        <v>-325752.256</v>
      </c>
    </row>
    <row r="864" spans="3:8" ht="15">
      <c r="C864" s="73">
        <v>309750</v>
      </c>
      <c r="D864" s="9" t="s">
        <v>358</v>
      </c>
      <c r="G864" s="6">
        <f>-G568*0.001</f>
        <v>-212576.479</v>
      </c>
      <c r="H864" s="6"/>
    </row>
    <row r="865" spans="3:8" ht="15">
      <c r="C865" s="73">
        <v>309999</v>
      </c>
      <c r="D865" s="8" t="s">
        <v>1368</v>
      </c>
      <c r="E865" s="8"/>
      <c r="F865" s="8"/>
      <c r="G865" s="78">
        <f>SUM(G856:G864)</f>
        <v>536640.669</v>
      </c>
      <c r="H865" s="78">
        <f>SUM(H856:H864)</f>
        <v>-166105.613</v>
      </c>
    </row>
    <row r="866" spans="3:8" ht="15">
      <c r="C866" s="73"/>
      <c r="G866" s="6"/>
      <c r="H866" s="6"/>
    </row>
    <row r="867" spans="3:8" ht="15">
      <c r="C867" s="73">
        <v>310999</v>
      </c>
      <c r="D867" s="8" t="s">
        <v>1369</v>
      </c>
      <c r="E867" s="8"/>
      <c r="F867" s="8"/>
      <c r="G867" s="78">
        <f>G817-G853+G865</f>
        <v>26160676.940190013</v>
      </c>
      <c r="H867" s="78">
        <f>H817-H853+H865</f>
        <v>14560641.661</v>
      </c>
    </row>
    <row r="868" spans="3:8" ht="15">
      <c r="C868" s="73"/>
      <c r="G868" s="6"/>
      <c r="H868" s="6"/>
    </row>
    <row r="869" spans="3:8" ht="15">
      <c r="C869" s="73"/>
      <c r="D869" s="81" t="s">
        <v>1370</v>
      </c>
      <c r="G869" s="6"/>
      <c r="H869" s="6"/>
    </row>
    <row r="870" spans="3:8" ht="15">
      <c r="C870" s="73">
        <v>311810</v>
      </c>
      <c r="D870" s="9" t="s">
        <v>1371</v>
      </c>
      <c r="G870" s="6"/>
      <c r="H870" s="6"/>
    </row>
    <row r="871" spans="3:8" ht="15">
      <c r="C871" s="73">
        <v>311820</v>
      </c>
      <c r="D871" s="9" t="s">
        <v>1372</v>
      </c>
      <c r="G871" s="6">
        <f>G2011*0.001</f>
        <v>28430.861</v>
      </c>
      <c r="H871" s="6">
        <f>H2011*0.001</f>
        <v>0</v>
      </c>
    </row>
    <row r="872" spans="3:8" ht="15">
      <c r="C872" s="73">
        <v>311850</v>
      </c>
      <c r="D872" s="9" t="s">
        <v>1373</v>
      </c>
      <c r="G872" s="6">
        <f>(G2012-G2011)*0.001</f>
        <v>2553110.3850000002</v>
      </c>
      <c r="H872" s="6">
        <f>(H2012-H2011)*0.001</f>
        <v>1612558.401</v>
      </c>
    </row>
    <row r="873" spans="3:8" ht="15">
      <c r="C873" s="73">
        <v>311999</v>
      </c>
      <c r="D873" s="8" t="s">
        <v>1374</v>
      </c>
      <c r="E873" s="8"/>
      <c r="F873" s="8"/>
      <c r="G873" s="78">
        <f>SUM(G870:G872)</f>
        <v>2581541.2460000003</v>
      </c>
      <c r="H873" s="78">
        <f>SUM(H870:H872)</f>
        <v>1612558.401</v>
      </c>
    </row>
    <row r="874" spans="3:8" ht="15">
      <c r="C874" s="73"/>
      <c r="G874" s="6"/>
      <c r="H874" s="6"/>
    </row>
    <row r="875" spans="3:8" ht="15">
      <c r="C875" s="73">
        <v>312999</v>
      </c>
      <c r="D875" s="8" t="s">
        <v>1375</v>
      </c>
      <c r="E875" s="8"/>
      <c r="F875" s="8"/>
      <c r="G875" s="78">
        <f>G867-G873</f>
        <v>23579135.694190014</v>
      </c>
      <c r="H875" s="78">
        <f>H867-H873</f>
        <v>12948083.26</v>
      </c>
    </row>
    <row r="876" spans="3:8" ht="15">
      <c r="C876" s="73"/>
      <c r="G876" s="6"/>
      <c r="H876" s="6"/>
    </row>
    <row r="877" spans="3:8" ht="15">
      <c r="C877" s="73">
        <v>313740</v>
      </c>
      <c r="D877" s="9" t="s">
        <v>1376</v>
      </c>
      <c r="G877" s="6">
        <f>G626*0.001</f>
        <v>0</v>
      </c>
      <c r="H877" s="6"/>
    </row>
    <row r="878" spans="3:8" ht="15">
      <c r="C878" s="73"/>
      <c r="G878" s="6"/>
      <c r="H878" s="6"/>
    </row>
    <row r="879" spans="3:8" ht="15">
      <c r="C879" s="73">
        <v>365000</v>
      </c>
      <c r="D879" s="8" t="s">
        <v>1377</v>
      </c>
      <c r="E879" s="8"/>
      <c r="F879" s="8"/>
      <c r="G879" s="78">
        <f>G875-G877</f>
        <v>23579135.694190014</v>
      </c>
      <c r="H879" s="78">
        <f>H875-H877</f>
        <v>12948083.26</v>
      </c>
    </row>
    <row r="880" spans="3:8" ht="15">
      <c r="C880" s="73"/>
      <c r="D880" s="8"/>
      <c r="E880" s="8"/>
      <c r="F880" s="8"/>
      <c r="G880" s="78"/>
      <c r="H880" s="78"/>
    </row>
    <row r="881" spans="3:8" ht="15">
      <c r="C881" s="73">
        <v>368600</v>
      </c>
      <c r="D881" s="9" t="s">
        <v>1378</v>
      </c>
      <c r="G881" s="6"/>
      <c r="H881" s="6"/>
    </row>
    <row r="882" spans="3:8" ht="15">
      <c r="C882" s="73">
        <v>368900</v>
      </c>
      <c r="D882" s="9" t="s">
        <v>1379</v>
      </c>
      <c r="G882" s="6">
        <f>-G2018*0.001</f>
        <v>-895.017</v>
      </c>
      <c r="H882" s="6">
        <f>H2018*0.001</f>
        <v>0</v>
      </c>
    </row>
    <row r="883" spans="3:8" ht="15">
      <c r="C883" s="73">
        <v>369000</v>
      </c>
      <c r="D883" s="75" t="s">
        <v>1380</v>
      </c>
      <c r="E883" s="8"/>
      <c r="F883" s="8"/>
      <c r="G883" s="78">
        <f>SUM(G881:G882)</f>
        <v>-895.017</v>
      </c>
      <c r="H883" s="78">
        <f>SUM(H881:H882)</f>
        <v>0</v>
      </c>
    </row>
    <row r="884" spans="3:8" ht="15">
      <c r="C884" s="73"/>
      <c r="G884" s="6"/>
      <c r="H884" s="6"/>
    </row>
    <row r="885" spans="3:8" ht="15">
      <c r="C885" s="73">
        <v>372200</v>
      </c>
      <c r="D885" s="9" t="s">
        <v>1381</v>
      </c>
      <c r="G885" s="6">
        <f>G2025*0.001</f>
        <v>558347.3979099999</v>
      </c>
      <c r="H885" s="6">
        <f>H2025*0.001</f>
        <v>1005496.015</v>
      </c>
    </row>
    <row r="886" spans="3:8" ht="15">
      <c r="C886" s="73">
        <v>372600</v>
      </c>
      <c r="D886" s="9" t="s">
        <v>432</v>
      </c>
      <c r="G886" s="6">
        <f>G2032*0.001</f>
        <v>341345.706</v>
      </c>
      <c r="H886" s="6">
        <f>H2032*0.001</f>
        <v>490535.121</v>
      </c>
    </row>
    <row r="887" spans="3:8" ht="15">
      <c r="C887" s="73">
        <v>372900</v>
      </c>
      <c r="D887" s="9" t="s">
        <v>1382</v>
      </c>
      <c r="G887" s="6">
        <f>G2038*0.001</f>
        <v>270176.455</v>
      </c>
      <c r="H887" s="6">
        <f>H2038*0.001</f>
        <v>253002.893</v>
      </c>
    </row>
    <row r="888" spans="3:8" ht="15">
      <c r="C888" s="73">
        <v>373000</v>
      </c>
      <c r="D888" s="75" t="s">
        <v>367</v>
      </c>
      <c r="E888" s="75"/>
      <c r="F888" s="75"/>
      <c r="G888" s="76">
        <f>SUM(G885:G887)</f>
        <v>1169869.55891</v>
      </c>
      <c r="H888" s="76">
        <f>SUM(H885:H887)</f>
        <v>1749034.0289999999</v>
      </c>
    </row>
    <row r="889" spans="3:8" ht="15">
      <c r="C889" s="73"/>
      <c r="D889" s="8" t="s">
        <v>368</v>
      </c>
      <c r="E889" s="8"/>
      <c r="F889" s="8"/>
      <c r="G889" s="78">
        <f>G883+G888</f>
        <v>1168974.54191</v>
      </c>
      <c r="H889" s="78">
        <f>H883+H888</f>
        <v>1749034.0289999999</v>
      </c>
    </row>
    <row r="890" spans="3:8" ht="15">
      <c r="C890" s="73"/>
      <c r="G890" s="6"/>
      <c r="H890" s="6"/>
    </row>
    <row r="891" spans="3:8" ht="15">
      <c r="C891" s="73">
        <v>385000</v>
      </c>
      <c r="D891" s="8" t="s">
        <v>369</v>
      </c>
      <c r="E891" s="8"/>
      <c r="F891" s="8"/>
      <c r="G891" s="78">
        <f>G879-G889</f>
        <v>22410161.152280014</v>
      </c>
      <c r="H891" s="78">
        <f>H879-H889</f>
        <v>11199049.231</v>
      </c>
    </row>
    <row r="892" spans="3:8" ht="15">
      <c r="C892" s="73"/>
      <c r="G892" s="6"/>
      <c r="H892" s="6"/>
    </row>
    <row r="893" spans="3:8" ht="15">
      <c r="C893" s="73">
        <v>386200</v>
      </c>
      <c r="D893" s="9" t="s">
        <v>522</v>
      </c>
      <c r="G893" s="6">
        <f>G627*0.001</f>
        <v>4890352.433</v>
      </c>
      <c r="H893" s="6">
        <v>0</v>
      </c>
    </row>
    <row r="894" spans="3:8" ht="15">
      <c r="C894" s="73">
        <v>386400</v>
      </c>
      <c r="D894" s="9" t="s">
        <v>523</v>
      </c>
      <c r="G894" s="6"/>
      <c r="H894" s="6"/>
    </row>
    <row r="895" spans="3:8" ht="15">
      <c r="C895" s="73">
        <v>388000</v>
      </c>
      <c r="D895" s="9" t="s">
        <v>524</v>
      </c>
      <c r="G895" s="6">
        <f>G628*0.001</f>
        <v>1891422</v>
      </c>
      <c r="H895" s="6">
        <v>2323763</v>
      </c>
    </row>
    <row r="896" spans="3:8" ht="15">
      <c r="C896" s="73">
        <v>389000</v>
      </c>
      <c r="D896" s="8" t="s">
        <v>525</v>
      </c>
      <c r="E896" s="8"/>
      <c r="F896" s="8"/>
      <c r="G896" s="78">
        <f>SUM(G893:G895)</f>
        <v>6781774.433</v>
      </c>
      <c r="H896" s="78">
        <f>SUM(H893:H895)</f>
        <v>2323763</v>
      </c>
    </row>
    <row r="897" spans="3:8" ht="15">
      <c r="C897" s="73"/>
      <c r="G897" s="6"/>
      <c r="H897" s="6"/>
    </row>
    <row r="898" spans="3:8" ht="16.5">
      <c r="C898" s="73">
        <v>390000</v>
      </c>
      <c r="D898" s="8" t="s">
        <v>526</v>
      </c>
      <c r="E898" s="8"/>
      <c r="F898" s="8"/>
      <c r="G898" s="26">
        <f>G891-G896</f>
        <v>15628386.719280014</v>
      </c>
      <c r="H898" s="26">
        <f>H891-H896</f>
        <v>8875286.231</v>
      </c>
    </row>
    <row r="899" spans="7:8" ht="15">
      <c r="G899" s="6"/>
      <c r="H899" s="6"/>
    </row>
    <row r="900" spans="1:8" ht="15">
      <c r="A900" s="66"/>
      <c r="B900" s="66"/>
      <c r="C900" s="66"/>
      <c r="D900" s="66"/>
      <c r="E900" s="66"/>
      <c r="F900" s="66"/>
      <c r="G900" s="67"/>
      <c r="H900" s="67"/>
    </row>
    <row r="901" spans="1:8" ht="15">
      <c r="A901" s="66"/>
      <c r="B901" s="66"/>
      <c r="C901" s="66"/>
      <c r="D901" s="66"/>
      <c r="E901" s="66"/>
      <c r="F901" s="66"/>
      <c r="G901" s="67"/>
      <c r="H901" s="67"/>
    </row>
    <row r="902" spans="1:8" ht="15">
      <c r="A902" s="66"/>
      <c r="B902" s="66"/>
      <c r="C902" s="66" t="s">
        <v>1707</v>
      </c>
      <c r="D902" s="66"/>
      <c r="E902" s="66"/>
      <c r="F902" s="66"/>
      <c r="G902" s="67"/>
      <c r="H902" s="67"/>
    </row>
    <row r="903" spans="1:8" ht="15">
      <c r="A903" s="66"/>
      <c r="B903" s="66"/>
      <c r="C903" s="66"/>
      <c r="D903" s="66"/>
      <c r="E903" s="66"/>
      <c r="F903" s="66"/>
      <c r="G903" s="67"/>
      <c r="H903" s="67"/>
    </row>
    <row r="904" spans="1:8" ht="15">
      <c r="A904" s="66"/>
      <c r="B904" s="66"/>
      <c r="C904" s="66"/>
      <c r="D904" s="66"/>
      <c r="E904" s="66"/>
      <c r="F904" s="66"/>
      <c r="G904" s="67"/>
      <c r="H904" s="67"/>
    </row>
    <row r="905" spans="1:8" ht="15">
      <c r="A905" s="31"/>
      <c r="B905" s="31"/>
      <c r="C905" s="83"/>
      <c r="D905" s="31"/>
      <c r="E905" s="31"/>
      <c r="F905" s="31"/>
      <c r="G905" s="31"/>
      <c r="H905" s="31"/>
    </row>
    <row r="906" spans="2:3" ht="15">
      <c r="B906" s="34"/>
      <c r="C906" s="77" t="s">
        <v>1759</v>
      </c>
    </row>
    <row r="907" spans="2:3" ht="15">
      <c r="B907" s="31"/>
      <c r="C907" s="73"/>
    </row>
    <row r="908" spans="2:3" ht="15">
      <c r="B908" s="31"/>
      <c r="C908" s="73"/>
    </row>
    <row r="909" spans="2:3" ht="15">
      <c r="B909" s="34"/>
      <c r="C909" s="77" t="s">
        <v>527</v>
      </c>
    </row>
    <row r="910" spans="2:3" ht="15">
      <c r="B910" s="31"/>
      <c r="C910" s="73"/>
    </row>
    <row r="911" spans="2:3" ht="15">
      <c r="B911" s="31"/>
      <c r="C911" s="73"/>
    </row>
    <row r="912" spans="2:8" ht="15">
      <c r="B912" s="31"/>
      <c r="C912" s="73"/>
      <c r="G912" s="84">
        <v>2005</v>
      </c>
      <c r="H912" s="84">
        <v>2004</v>
      </c>
    </row>
    <row r="913" spans="2:8" ht="15">
      <c r="B913" s="31"/>
      <c r="C913" s="73"/>
      <c r="G913" s="84" t="s">
        <v>528</v>
      </c>
      <c r="H913" s="84" t="s">
        <v>528</v>
      </c>
    </row>
    <row r="914" spans="2:3" ht="15">
      <c r="B914" s="34"/>
      <c r="C914" s="77" t="s">
        <v>1760</v>
      </c>
    </row>
    <row r="915" spans="2:8" ht="15">
      <c r="B915" s="31"/>
      <c r="C915" s="73" t="s">
        <v>529</v>
      </c>
      <c r="G915" s="6">
        <f>G891</f>
        <v>22410161.152280014</v>
      </c>
      <c r="H915" s="6">
        <f>H891</f>
        <v>11199049.231</v>
      </c>
    </row>
    <row r="916" spans="2:8" ht="15">
      <c r="B916" s="31"/>
      <c r="C916" s="73"/>
      <c r="G916" s="6"/>
      <c r="H916" s="6"/>
    </row>
    <row r="917" spans="2:8" ht="15">
      <c r="B917" s="34"/>
      <c r="C917" s="77" t="s">
        <v>1761</v>
      </c>
      <c r="G917" s="6"/>
      <c r="H917" s="6"/>
    </row>
    <row r="918" spans="2:8" ht="15">
      <c r="B918" s="31"/>
      <c r="C918" s="73" t="s">
        <v>1762</v>
      </c>
      <c r="G918" s="6">
        <f>G873</f>
        <v>2581541.2460000003</v>
      </c>
      <c r="H918" s="6">
        <f>H873</f>
        <v>1612558.401</v>
      </c>
    </row>
    <row r="919" spans="2:8" ht="15">
      <c r="B919" s="31"/>
      <c r="C919" s="73" t="s">
        <v>530</v>
      </c>
      <c r="G919" s="6"/>
      <c r="H919" s="6"/>
    </row>
    <row r="920" spans="2:8" ht="15">
      <c r="B920" s="31"/>
      <c r="C920" s="73" t="s">
        <v>531</v>
      </c>
      <c r="G920" s="6">
        <f>-(G858+G861)</f>
        <v>-22261.45</v>
      </c>
      <c r="H920" s="6">
        <f>-(H858+H861)</f>
        <v>-2549.011</v>
      </c>
    </row>
    <row r="921" spans="2:8" ht="17.25">
      <c r="B921" s="31"/>
      <c r="C921" s="73" t="s">
        <v>969</v>
      </c>
      <c r="G921" s="85">
        <f>G885+G887</f>
        <v>828523.8529099999</v>
      </c>
      <c r="H921" s="85">
        <f>H885+H887</f>
        <v>1258498.908</v>
      </c>
    </row>
    <row r="922" spans="2:8" ht="15">
      <c r="B922" s="31"/>
      <c r="G922" s="6"/>
      <c r="H922" s="6"/>
    </row>
    <row r="923" spans="2:8" ht="15">
      <c r="B923" s="34"/>
      <c r="C923" s="77" t="s">
        <v>532</v>
      </c>
      <c r="G923" s="78">
        <f>SUM(G915:G922)</f>
        <v>25797964.801190015</v>
      </c>
      <c r="H923" s="78">
        <f>SUM(H915:H922)</f>
        <v>14067557.529000001</v>
      </c>
    </row>
    <row r="924" spans="2:8" ht="15">
      <c r="B924" s="31"/>
      <c r="C924" s="73"/>
      <c r="G924" s="6"/>
      <c r="H924" s="6"/>
    </row>
    <row r="925" spans="2:8" ht="15">
      <c r="B925" s="31"/>
      <c r="C925" s="73"/>
      <c r="G925" s="6"/>
      <c r="H925" s="6"/>
    </row>
    <row r="926" spans="2:8" ht="15">
      <c r="B926" s="34"/>
      <c r="C926" s="77" t="s">
        <v>1763</v>
      </c>
      <c r="G926" s="6"/>
      <c r="H926" s="6"/>
    </row>
    <row r="927" spans="2:8" ht="15">
      <c r="B927" s="31"/>
      <c r="C927" s="73" t="s">
        <v>533</v>
      </c>
      <c r="G927" s="6">
        <f>H677-G677</f>
        <v>-583153.3069999982</v>
      </c>
      <c r="H927" s="6">
        <v>3397064</v>
      </c>
    </row>
    <row r="928" spans="2:8" ht="15">
      <c r="B928" s="31"/>
      <c r="C928" s="73" t="s">
        <v>534</v>
      </c>
      <c r="G928" s="6">
        <f>H681-G681</f>
        <v>-14324.9375700003</v>
      </c>
      <c r="H928" s="6">
        <v>122967</v>
      </c>
    </row>
    <row r="929" spans="2:8" ht="15">
      <c r="B929" s="31"/>
      <c r="C929" s="73" t="s">
        <v>1764</v>
      </c>
      <c r="G929" s="6">
        <f>H684-G684</f>
        <v>372202.0688100001</v>
      </c>
      <c r="H929" s="6">
        <v>-899219</v>
      </c>
    </row>
    <row r="930" spans="2:8" ht="15">
      <c r="B930" s="31"/>
      <c r="C930" s="73" t="s">
        <v>1765</v>
      </c>
      <c r="G930" s="6">
        <f>H670-G670</f>
        <v>52400</v>
      </c>
      <c r="H930" s="6">
        <v>66042</v>
      </c>
    </row>
    <row r="931" spans="2:8" ht="15">
      <c r="B931" s="31"/>
      <c r="C931" s="73" t="s">
        <v>1766</v>
      </c>
      <c r="G931" s="6">
        <f>G765-H765</f>
        <v>-2020996.4926900002</v>
      </c>
      <c r="H931" s="6">
        <v>1419886</v>
      </c>
    </row>
    <row r="932" spans="2:8" ht="15">
      <c r="B932" s="31"/>
      <c r="C932" s="73" t="s">
        <v>535</v>
      </c>
      <c r="G932" s="6">
        <f>+G716-H716</f>
        <v>324822.15800000005</v>
      </c>
      <c r="H932" s="6">
        <v>0</v>
      </c>
    </row>
    <row r="933" spans="2:8" ht="15">
      <c r="B933" s="31"/>
      <c r="C933" s="73" t="s">
        <v>536</v>
      </c>
      <c r="G933" s="6">
        <f>G741-H741</f>
        <v>279.47100000001956</v>
      </c>
      <c r="H933" s="6">
        <v>0</v>
      </c>
    </row>
    <row r="934" spans="2:8" ht="15">
      <c r="B934" s="31"/>
      <c r="C934" s="73" t="s">
        <v>537</v>
      </c>
      <c r="G934" s="6">
        <f>G768-H768</f>
        <v>-65891.39300000001</v>
      </c>
      <c r="H934" s="6">
        <v>150879</v>
      </c>
    </row>
    <row r="935" spans="2:8" ht="17.25">
      <c r="B935" s="31"/>
      <c r="C935" s="73" t="s">
        <v>1767</v>
      </c>
      <c r="G935" s="85">
        <f>G767-H767</f>
        <v>-131824.21242999984</v>
      </c>
      <c r="H935" s="85">
        <v>1037068</v>
      </c>
    </row>
    <row r="936" spans="2:8" ht="15">
      <c r="B936" s="31"/>
      <c r="C936" s="73"/>
      <c r="G936" s="6"/>
      <c r="H936" s="6"/>
    </row>
    <row r="937" spans="2:8" ht="15">
      <c r="B937" s="31"/>
      <c r="C937" s="77" t="s">
        <v>538</v>
      </c>
      <c r="G937" s="6">
        <f>SUM(G923:G936)</f>
        <v>23731478.156310014</v>
      </c>
      <c r="H937" s="6">
        <f>SUM(H923:H936)</f>
        <v>19362244.529</v>
      </c>
    </row>
    <row r="938" spans="2:8" ht="15">
      <c r="B938" s="31"/>
      <c r="C938" s="73" t="s">
        <v>968</v>
      </c>
      <c r="G938" s="6">
        <f>-(H755+G885+G887-G755)</f>
        <v>-845155.15291</v>
      </c>
      <c r="H938" s="6">
        <v>-1266791</v>
      </c>
    </row>
    <row r="939" spans="2:8" ht="17.25">
      <c r="B939" s="31"/>
      <c r="C939" s="73" t="s">
        <v>1768</v>
      </c>
      <c r="G939" s="85">
        <f>G1193</f>
        <v>-4401884</v>
      </c>
      <c r="H939" s="85">
        <v>0</v>
      </c>
    </row>
    <row r="940" spans="2:8" ht="15">
      <c r="B940" s="34"/>
      <c r="C940" s="73"/>
      <c r="G940" s="6"/>
      <c r="H940" s="6"/>
    </row>
    <row r="941" spans="2:8" ht="15">
      <c r="B941" s="34"/>
      <c r="C941" s="77" t="s">
        <v>539</v>
      </c>
      <c r="G941" s="78">
        <f>SUM(G937:G940)</f>
        <v>18484439.003400013</v>
      </c>
      <c r="H941" s="78">
        <f>SUM(H937:H940)</f>
        <v>18095453.529</v>
      </c>
    </row>
    <row r="942" spans="2:8" ht="15">
      <c r="B942" s="31"/>
      <c r="G942" s="6"/>
      <c r="H942" s="6"/>
    </row>
    <row r="943" spans="2:8" ht="15">
      <c r="B943" s="31"/>
      <c r="G943" s="6"/>
      <c r="H943" s="6"/>
    </row>
    <row r="944" spans="2:8" ht="15">
      <c r="B944" s="34"/>
      <c r="C944" s="77" t="s">
        <v>1769</v>
      </c>
      <c r="G944" s="6"/>
      <c r="H944" s="6"/>
    </row>
    <row r="945" spans="2:8" ht="15">
      <c r="B945" s="31"/>
      <c r="C945" s="73" t="s">
        <v>1770</v>
      </c>
      <c r="G945" s="86">
        <v>23232</v>
      </c>
      <c r="H945" s="86">
        <v>1246</v>
      </c>
    </row>
    <row r="946" spans="2:8" ht="15">
      <c r="B946" s="34"/>
      <c r="C946" s="73" t="s">
        <v>540</v>
      </c>
      <c r="G946" s="87">
        <f>-(J1020+L1020)</f>
        <v>-1687748</v>
      </c>
      <c r="H946" s="87">
        <v>-13997542</v>
      </c>
    </row>
    <row r="947" spans="2:8" ht="15">
      <c r="B947" s="34"/>
      <c r="C947" s="73" t="s">
        <v>541</v>
      </c>
      <c r="G947" s="87">
        <f>H645-G645</f>
        <v>-97477.23800000001</v>
      </c>
      <c r="H947" s="87"/>
    </row>
    <row r="948" spans="2:8" ht="15">
      <c r="B948" s="31"/>
      <c r="C948" s="73" t="s">
        <v>542</v>
      </c>
      <c r="G948" s="88">
        <f>-M1020+J1020-J1021</f>
        <v>-1339393</v>
      </c>
      <c r="H948" s="88">
        <v>-897187</v>
      </c>
    </row>
    <row r="949" spans="2:8" ht="15">
      <c r="B949" s="31"/>
      <c r="C949" s="77" t="s">
        <v>543</v>
      </c>
      <c r="G949" s="78">
        <f>SUM(G945:G948)</f>
        <v>-3101386.238</v>
      </c>
      <c r="H949" s="78">
        <f>SUM(H945:H948)</f>
        <v>-14893483</v>
      </c>
    </row>
    <row r="950" spans="2:8" ht="15">
      <c r="B950" s="31"/>
      <c r="G950" s="6"/>
      <c r="H950" s="6"/>
    </row>
    <row r="951" spans="2:8" ht="15">
      <c r="B951" s="34"/>
      <c r="G951" s="6"/>
      <c r="H951" s="6"/>
    </row>
    <row r="952" spans="2:8" ht="15">
      <c r="B952" s="31"/>
      <c r="C952" s="77" t="s">
        <v>1774</v>
      </c>
      <c r="G952" s="6"/>
      <c r="H952" s="6"/>
    </row>
    <row r="953" spans="2:8" ht="15">
      <c r="B953" s="34"/>
      <c r="C953" s="73" t="s">
        <v>1894</v>
      </c>
      <c r="G953" s="86">
        <v>-1800000</v>
      </c>
      <c r="H953" s="86">
        <v>-1000000</v>
      </c>
    </row>
    <row r="954" spans="2:8" ht="15">
      <c r="B954" s="31"/>
      <c r="C954" s="73" t="s">
        <v>544</v>
      </c>
      <c r="G954" s="87">
        <v>-50364</v>
      </c>
      <c r="H954" s="87">
        <v>-50364</v>
      </c>
    </row>
    <row r="955" spans="2:8" ht="15">
      <c r="B955" s="31"/>
      <c r="C955" s="73" t="s">
        <v>545</v>
      </c>
      <c r="G955" s="88">
        <v>0</v>
      </c>
      <c r="H955" s="88">
        <v>-1900000</v>
      </c>
    </row>
    <row r="956" spans="2:8" ht="16.5">
      <c r="B956" s="31"/>
      <c r="C956" s="77" t="s">
        <v>975</v>
      </c>
      <c r="G956" s="89">
        <f>SUM(G953:G955)</f>
        <v>-1850364</v>
      </c>
      <c r="H956" s="89">
        <f>SUM(H953:H955)</f>
        <v>-2950364</v>
      </c>
    </row>
    <row r="957" spans="2:8" ht="15">
      <c r="B957" s="31"/>
      <c r="C957" s="73"/>
      <c r="G957" s="6"/>
      <c r="H957" s="6"/>
    </row>
    <row r="958" spans="2:8" ht="15">
      <c r="B958" s="31"/>
      <c r="C958" s="77" t="s">
        <v>976</v>
      </c>
      <c r="G958" s="78">
        <f>G941+G949+G956</f>
        <v>13532688.765400013</v>
      </c>
      <c r="H958" s="78">
        <f>H941+H949+H956</f>
        <v>251606.52899999917</v>
      </c>
    </row>
    <row r="959" spans="2:8" ht="17.25">
      <c r="B959" s="31"/>
      <c r="C959" s="73" t="s">
        <v>1895</v>
      </c>
      <c r="G959" s="85">
        <f>H960</f>
        <v>-3293466.471000001</v>
      </c>
      <c r="H959" s="85">
        <v>-3545073</v>
      </c>
    </row>
    <row r="960" spans="2:8" ht="16.5">
      <c r="B960" s="34"/>
      <c r="C960" s="77" t="s">
        <v>977</v>
      </c>
      <c r="G960" s="26">
        <f>SUM(G958:G959)</f>
        <v>10239222.294400012</v>
      </c>
      <c r="H960" s="26">
        <f>SUM(H958:H959)</f>
        <v>-3293466.471000001</v>
      </c>
    </row>
    <row r="961" spans="2:8" ht="15">
      <c r="B961" s="31"/>
      <c r="G961" s="6"/>
      <c r="H961" s="6"/>
    </row>
    <row r="962" spans="2:8" ht="15">
      <c r="B962" s="34"/>
      <c r="C962" s="73" t="s">
        <v>798</v>
      </c>
      <c r="G962" s="6"/>
      <c r="H962" s="6"/>
    </row>
    <row r="963" spans="2:8" ht="15">
      <c r="B963" s="31"/>
      <c r="C963" s="73" t="s">
        <v>799</v>
      </c>
      <c r="G963" s="6"/>
      <c r="H963" s="6"/>
    </row>
    <row r="964" spans="2:8" ht="15">
      <c r="B964" s="34"/>
      <c r="C964" s="73"/>
      <c r="G964" s="6"/>
      <c r="H964" s="6"/>
    </row>
    <row r="965" spans="2:8" ht="15">
      <c r="B965" s="31"/>
      <c r="C965" s="73" t="s">
        <v>1896</v>
      </c>
      <c r="G965" s="6">
        <f>G689</f>
        <v>10239221.71</v>
      </c>
      <c r="H965" s="6">
        <v>2044333</v>
      </c>
    </row>
    <row r="966" spans="2:8" ht="17.25">
      <c r="B966" s="31"/>
      <c r="C966" s="73" t="s">
        <v>1897</v>
      </c>
      <c r="G966" s="85">
        <v>0</v>
      </c>
      <c r="H966" s="85">
        <v>-5337799</v>
      </c>
    </row>
    <row r="967" spans="2:8" ht="16.5">
      <c r="B967" s="31"/>
      <c r="C967" s="77" t="s">
        <v>1207</v>
      </c>
      <c r="D967" s="8"/>
      <c r="E967" s="8"/>
      <c r="F967" s="8"/>
      <c r="G967" s="26">
        <f>SUM(G965:G966)</f>
        <v>10239221.71</v>
      </c>
      <c r="H967" s="26">
        <f>SUM(H965:H966)</f>
        <v>-3293466</v>
      </c>
    </row>
    <row r="968" ht="15">
      <c r="B968" s="31"/>
    </row>
    <row r="969" spans="2:7" ht="15">
      <c r="B969" s="31"/>
      <c r="G969" s="90"/>
    </row>
    <row r="970" ht="15">
      <c r="B970" s="31"/>
    </row>
    <row r="971" ht="15">
      <c r="B971" s="31"/>
    </row>
    <row r="972" spans="2:3" ht="15">
      <c r="B972" s="31"/>
      <c r="C972" s="73"/>
    </row>
    <row r="973" spans="2:3" ht="15">
      <c r="B973" s="34"/>
      <c r="C973" s="77" t="s">
        <v>800</v>
      </c>
    </row>
    <row r="974" spans="2:3" ht="15">
      <c r="B974" s="31"/>
      <c r="C974" s="73"/>
    </row>
    <row r="975" spans="2:3" ht="15">
      <c r="B975" s="31"/>
      <c r="C975" s="73"/>
    </row>
    <row r="976" spans="2:3" ht="15">
      <c r="B976" s="31"/>
      <c r="C976" s="73"/>
    </row>
    <row r="977" spans="2:3" ht="15">
      <c r="B977" s="34"/>
      <c r="C977" s="77" t="s">
        <v>1759</v>
      </c>
    </row>
    <row r="978" spans="2:3" ht="15">
      <c r="B978" s="34"/>
      <c r="C978" s="73"/>
    </row>
    <row r="979" spans="2:3" ht="15">
      <c r="B979" s="34"/>
      <c r="C979" s="73"/>
    </row>
    <row r="980" spans="2:3" ht="15">
      <c r="B980" s="34"/>
      <c r="C980" s="77" t="s">
        <v>801</v>
      </c>
    </row>
    <row r="981" spans="2:3" ht="15">
      <c r="B981" s="34"/>
      <c r="C981" s="77"/>
    </row>
    <row r="982" spans="2:8" ht="15">
      <c r="B982" s="34"/>
      <c r="C982" s="77"/>
      <c r="E982" s="84" t="s">
        <v>802</v>
      </c>
      <c r="F982" s="84" t="s">
        <v>803</v>
      </c>
      <c r="G982" s="84" t="s">
        <v>804</v>
      </c>
      <c r="H982" s="84" t="s">
        <v>1207</v>
      </c>
    </row>
    <row r="983" spans="2:8" ht="15">
      <c r="B983" s="34"/>
      <c r="C983" s="77"/>
      <c r="E983" s="84" t="s">
        <v>966</v>
      </c>
      <c r="F983" s="84" t="s">
        <v>805</v>
      </c>
      <c r="G983" s="84" t="s">
        <v>806</v>
      </c>
      <c r="H983" s="84"/>
    </row>
    <row r="984" spans="2:8" ht="15">
      <c r="B984" s="34"/>
      <c r="C984" s="77"/>
      <c r="E984" s="84"/>
      <c r="F984" s="84"/>
      <c r="G984" s="84" t="s">
        <v>807</v>
      </c>
      <c r="H984" s="84"/>
    </row>
    <row r="985" spans="2:8" ht="15">
      <c r="B985" s="34"/>
      <c r="C985" s="77"/>
      <c r="E985" s="91" t="s">
        <v>1529</v>
      </c>
      <c r="F985" s="91" t="s">
        <v>1529</v>
      </c>
      <c r="G985" s="91" t="s">
        <v>1529</v>
      </c>
      <c r="H985" s="91" t="s">
        <v>1529</v>
      </c>
    </row>
    <row r="986" spans="2:8" ht="15">
      <c r="B986" s="34"/>
      <c r="C986" s="77"/>
      <c r="E986" s="84"/>
      <c r="F986" s="84"/>
      <c r="G986" s="84"/>
      <c r="H986" s="84"/>
    </row>
    <row r="987" spans="2:8" ht="15">
      <c r="B987" s="34"/>
      <c r="C987" s="73" t="s">
        <v>1530</v>
      </c>
      <c r="E987" s="6">
        <v>3598462</v>
      </c>
      <c r="F987" s="6">
        <v>19531399</v>
      </c>
      <c r="G987" s="6">
        <v>482994</v>
      </c>
      <c r="H987" s="6">
        <f>SUM(E987:G987)</f>
        <v>23612855</v>
      </c>
    </row>
    <row r="988" spans="2:8" ht="15">
      <c r="B988" s="34"/>
      <c r="C988" s="73" t="s">
        <v>1531</v>
      </c>
      <c r="E988" s="6">
        <v>0</v>
      </c>
      <c r="F988" s="6">
        <v>-1800000</v>
      </c>
      <c r="G988" s="6">
        <v>0</v>
      </c>
      <c r="H988" s="6">
        <f>SUM(E988:G988)</f>
        <v>-1800000</v>
      </c>
    </row>
    <row r="989" spans="2:8" ht="15">
      <c r="B989" s="34"/>
      <c r="C989" s="73" t="s">
        <v>415</v>
      </c>
      <c r="E989" s="6">
        <v>0</v>
      </c>
      <c r="F989" s="6">
        <f>G898</f>
        <v>15628386.719280014</v>
      </c>
      <c r="G989" s="6">
        <v>0</v>
      </c>
      <c r="H989" s="6">
        <f>SUM(E989:G989)</f>
        <v>15628386.719280014</v>
      </c>
    </row>
    <row r="990" spans="2:8" ht="15">
      <c r="B990" s="34"/>
      <c r="C990" s="73" t="s">
        <v>1532</v>
      </c>
      <c r="E990" s="6"/>
      <c r="F990" s="6"/>
      <c r="G990" s="6"/>
      <c r="H990" s="6">
        <f>SUM(E990:G990)</f>
        <v>0</v>
      </c>
    </row>
    <row r="991" spans="2:8" ht="15">
      <c r="B991" s="34"/>
      <c r="C991" s="73"/>
      <c r="E991" s="6"/>
      <c r="F991" s="6"/>
      <c r="G991" s="6"/>
      <c r="H991" s="6"/>
    </row>
    <row r="992" spans="2:12" ht="15">
      <c r="B992" s="31"/>
      <c r="C992" s="73" t="s">
        <v>1533</v>
      </c>
      <c r="E992" s="78">
        <f>SUM(E987:E990)</f>
        <v>3598462</v>
      </c>
      <c r="F992" s="78">
        <f>SUM(F987:F990)</f>
        <v>33359785.719280012</v>
      </c>
      <c r="G992" s="78">
        <f>SUM(G987:G990)</f>
        <v>482994</v>
      </c>
      <c r="H992" s="78">
        <f>SUM(E992:G992)</f>
        <v>37441241.71928001</v>
      </c>
      <c r="I992" s="8"/>
      <c r="J992" s="8"/>
      <c r="K992" s="8"/>
      <c r="L992" s="8"/>
    </row>
    <row r="993" spans="2:8" ht="15">
      <c r="B993" s="31"/>
      <c r="C993" s="73"/>
      <c r="E993" s="6"/>
      <c r="F993" s="6"/>
      <c r="G993" s="6"/>
      <c r="H993" s="6"/>
    </row>
    <row r="994" ht="15">
      <c r="B994" s="31"/>
    </row>
    <row r="995" spans="2:3" ht="15">
      <c r="B995" s="31"/>
      <c r="C995" s="73"/>
    </row>
    <row r="996" spans="2:3" ht="15">
      <c r="B996" s="34"/>
      <c r="C996" s="77" t="s">
        <v>1759</v>
      </c>
    </row>
    <row r="997" spans="2:3" ht="15">
      <c r="B997" s="31"/>
      <c r="C997" s="73"/>
    </row>
    <row r="998" spans="2:3" ht="15">
      <c r="B998" s="34"/>
      <c r="C998" s="77" t="s">
        <v>961</v>
      </c>
    </row>
    <row r="999" spans="2:3" ht="15">
      <c r="B999" s="34"/>
      <c r="C999" s="92" t="s">
        <v>1534</v>
      </c>
    </row>
    <row r="1000" spans="2:3" ht="15">
      <c r="B1000" s="31"/>
      <c r="C1000" s="73"/>
    </row>
    <row r="1001" spans="2:4" ht="15">
      <c r="B1001" s="34"/>
      <c r="C1001" s="77" t="s">
        <v>1535</v>
      </c>
      <c r="D1001" s="8" t="s">
        <v>1536</v>
      </c>
    </row>
    <row r="1002" spans="2:4" ht="15">
      <c r="B1002" s="31"/>
      <c r="C1002" s="73"/>
      <c r="D1002" s="9" t="s">
        <v>1537</v>
      </c>
    </row>
    <row r="1005" spans="2:3" ht="15">
      <c r="B1005" s="34"/>
      <c r="C1005" s="77"/>
    </row>
    <row r="1006" spans="2:4" ht="15">
      <c r="B1006" s="31"/>
      <c r="C1006" s="73"/>
      <c r="D1006" s="8" t="s">
        <v>1759</v>
      </c>
    </row>
    <row r="1007" spans="2:3" ht="15">
      <c r="B1007" s="31"/>
      <c r="C1007" s="73"/>
    </row>
    <row r="1008" spans="2:3" ht="15">
      <c r="B1008" s="31"/>
      <c r="C1008" s="73"/>
    </row>
    <row r="1009" spans="2:3" ht="15">
      <c r="B1009" s="31"/>
      <c r="C1009" s="73"/>
    </row>
    <row r="1010" spans="2:4" ht="15">
      <c r="B1010" s="34"/>
      <c r="C1010" s="77" t="s">
        <v>1538</v>
      </c>
      <c r="D1010" s="8" t="s">
        <v>1539</v>
      </c>
    </row>
    <row r="1011" spans="2:3" ht="15.75" thickBot="1">
      <c r="B1011" s="31"/>
      <c r="C1011" s="73"/>
    </row>
    <row r="1012" spans="2:13" ht="15">
      <c r="B1012" s="31"/>
      <c r="C1012" s="73"/>
      <c r="D1012" s="93" t="s">
        <v>962</v>
      </c>
      <c r="E1012" s="94"/>
      <c r="F1012" s="94"/>
      <c r="G1012" s="95" t="s">
        <v>963</v>
      </c>
      <c r="H1012" s="95" t="s">
        <v>964</v>
      </c>
      <c r="I1012" s="95" t="s">
        <v>965</v>
      </c>
      <c r="J1012" s="95" t="s">
        <v>966</v>
      </c>
      <c r="K1012" s="95" t="s">
        <v>1540</v>
      </c>
      <c r="L1012" s="95" t="s">
        <v>78</v>
      </c>
      <c r="M1012" s="95" t="s">
        <v>1207</v>
      </c>
    </row>
    <row r="1013" spans="2:13" ht="15">
      <c r="B1013" s="31"/>
      <c r="C1013" s="73"/>
      <c r="D1013" s="96"/>
      <c r="E1013" s="31"/>
      <c r="F1013" s="31"/>
      <c r="G1013" s="97" t="s">
        <v>1208</v>
      </c>
      <c r="H1013" s="97" t="s">
        <v>1209</v>
      </c>
      <c r="I1013" s="97" t="s">
        <v>1210</v>
      </c>
      <c r="J1013" s="97" t="s">
        <v>1211</v>
      </c>
      <c r="K1013" s="97" t="s">
        <v>79</v>
      </c>
      <c r="L1013" s="97" t="s">
        <v>80</v>
      </c>
      <c r="M1013" s="97"/>
    </row>
    <row r="1014" spans="2:13" ht="15">
      <c r="B1014" s="31"/>
      <c r="C1014" s="73"/>
      <c r="D1014" s="96"/>
      <c r="E1014" s="31"/>
      <c r="F1014" s="31"/>
      <c r="G1014" s="97" t="s">
        <v>1212</v>
      </c>
      <c r="H1014" s="97" t="s">
        <v>1208</v>
      </c>
      <c r="I1014" s="97" t="s">
        <v>1208</v>
      </c>
      <c r="J1014" s="97" t="s">
        <v>1213</v>
      </c>
      <c r="K1014" s="97"/>
      <c r="L1014" s="97" t="s">
        <v>1213</v>
      </c>
      <c r="M1014" s="97"/>
    </row>
    <row r="1015" spans="2:13" ht="15.75" thickBot="1">
      <c r="B1015" s="31"/>
      <c r="C1015" s="73"/>
      <c r="D1015" s="98"/>
      <c r="E1015" s="99"/>
      <c r="F1015" s="99"/>
      <c r="G1015" s="100"/>
      <c r="H1015" s="100" t="s">
        <v>1210</v>
      </c>
      <c r="I1015" s="100" t="s">
        <v>81</v>
      </c>
      <c r="J1015" s="100"/>
      <c r="K1015" s="100"/>
      <c r="L1015" s="100"/>
      <c r="M1015" s="100"/>
    </row>
    <row r="1016" spans="2:13" ht="15">
      <c r="B1016" s="31"/>
      <c r="C1016" s="73"/>
      <c r="D1016" s="96"/>
      <c r="G1016" s="101" t="s">
        <v>1214</v>
      </c>
      <c r="H1016" s="101" t="s">
        <v>1214</v>
      </c>
      <c r="I1016" s="101" t="s">
        <v>1214</v>
      </c>
      <c r="J1016" s="101" t="s">
        <v>1214</v>
      </c>
      <c r="K1016" s="101"/>
      <c r="L1016" s="101" t="s">
        <v>1214</v>
      </c>
      <c r="M1016" s="101" t="s">
        <v>1214</v>
      </c>
    </row>
    <row r="1017" spans="2:13" ht="15">
      <c r="B1017" s="31"/>
      <c r="C1017" s="73"/>
      <c r="D1017" s="102"/>
      <c r="G1017" s="103"/>
      <c r="H1017" s="103"/>
      <c r="I1017" s="103"/>
      <c r="J1017" s="103"/>
      <c r="K1017" s="103"/>
      <c r="L1017" s="103"/>
      <c r="M1017" s="103"/>
    </row>
    <row r="1018" spans="2:13" ht="15">
      <c r="B1018" s="31"/>
      <c r="C1018" s="73"/>
      <c r="D1018" s="104" t="s">
        <v>1215</v>
      </c>
      <c r="G1018" s="103"/>
      <c r="H1018" s="103"/>
      <c r="I1018" s="103"/>
      <c r="J1018" s="103"/>
      <c r="K1018" s="103"/>
      <c r="L1018" s="103"/>
      <c r="M1018" s="103"/>
    </row>
    <row r="1019" spans="2:13" ht="15">
      <c r="B1019" s="31"/>
      <c r="C1019" s="73"/>
      <c r="D1019" s="102" t="s">
        <v>82</v>
      </c>
      <c r="G1019" s="105">
        <v>1279220</v>
      </c>
      <c r="H1019" s="105">
        <v>28899788</v>
      </c>
      <c r="I1019" s="105">
        <v>3276801</v>
      </c>
      <c r="J1019" s="105">
        <v>474610</v>
      </c>
      <c r="K1019" s="105">
        <v>0</v>
      </c>
      <c r="L1019" s="105">
        <v>0</v>
      </c>
      <c r="M1019" s="105">
        <f>SUM(G1019:L1019)</f>
        <v>33930419</v>
      </c>
    </row>
    <row r="1020" spans="2:13" ht="15">
      <c r="B1020" s="31"/>
      <c r="C1020" s="73"/>
      <c r="D1020" s="102" t="s">
        <v>1216</v>
      </c>
      <c r="G1020" s="105">
        <v>94359</v>
      </c>
      <c r="H1020" s="105">
        <v>735647</v>
      </c>
      <c r="I1020" s="105">
        <v>618519</v>
      </c>
      <c r="J1020" s="105">
        <v>1687748</v>
      </c>
      <c r="K1020" s="105">
        <v>612358</v>
      </c>
      <c r="L1020" s="105"/>
      <c r="M1020" s="105">
        <f>SUM(G1020:L1020)</f>
        <v>3748631</v>
      </c>
    </row>
    <row r="1021" spans="2:13" ht="15">
      <c r="B1021" s="31"/>
      <c r="C1021" s="73"/>
      <c r="D1021" s="102" t="s">
        <v>83</v>
      </c>
      <c r="G1021" s="105">
        <v>0</v>
      </c>
      <c r="H1021" s="105">
        <v>-2448</v>
      </c>
      <c r="I1021" s="105">
        <v>-113006</v>
      </c>
      <c r="J1021" s="105">
        <v>-721490</v>
      </c>
      <c r="K1021" s="105">
        <v>0</v>
      </c>
      <c r="L1021" s="105"/>
      <c r="M1021" s="105">
        <f>SUM(G1021:L1021)</f>
        <v>-836944</v>
      </c>
    </row>
    <row r="1022" spans="2:13" ht="15">
      <c r="B1022" s="31"/>
      <c r="C1022" s="73"/>
      <c r="D1022" s="106" t="s">
        <v>1217</v>
      </c>
      <c r="E1022" s="63"/>
      <c r="F1022" s="63"/>
      <c r="G1022" s="107"/>
      <c r="H1022" s="107"/>
      <c r="I1022" s="107"/>
      <c r="J1022" s="107"/>
      <c r="K1022" s="107"/>
      <c r="L1022" s="107"/>
      <c r="M1022" s="107"/>
    </row>
    <row r="1023" spans="2:13" ht="15.75" thickBot="1">
      <c r="B1023" s="31"/>
      <c r="C1023" s="73"/>
      <c r="D1023" s="98" t="s">
        <v>84</v>
      </c>
      <c r="E1023" s="99"/>
      <c r="F1023" s="99"/>
      <c r="G1023" s="108">
        <f aca="true" t="shared" si="0" ref="G1023:L1023">SUM(G1019:G1022)</f>
        <v>1373579</v>
      </c>
      <c r="H1023" s="108">
        <f t="shared" si="0"/>
        <v>29632987</v>
      </c>
      <c r="I1023" s="108">
        <f t="shared" si="0"/>
        <v>3782314</v>
      </c>
      <c r="J1023" s="108">
        <f t="shared" si="0"/>
        <v>1440868</v>
      </c>
      <c r="K1023" s="108">
        <f t="shared" si="0"/>
        <v>612358</v>
      </c>
      <c r="L1023" s="108">
        <f t="shared" si="0"/>
        <v>0</v>
      </c>
      <c r="M1023" s="108">
        <f>SUM(G1023:L1023)</f>
        <v>36842106</v>
      </c>
    </row>
    <row r="1024" spans="2:13" ht="15">
      <c r="B1024" s="31"/>
      <c r="C1024" s="73"/>
      <c r="D1024" s="102"/>
      <c r="G1024" s="105"/>
      <c r="H1024" s="105"/>
      <c r="I1024" s="105"/>
      <c r="J1024" s="105"/>
      <c r="K1024" s="105"/>
      <c r="L1024" s="105"/>
      <c r="M1024" s="105"/>
    </row>
    <row r="1025" spans="2:13" ht="15">
      <c r="B1025" s="31"/>
      <c r="C1025" s="73"/>
      <c r="D1025" s="102"/>
      <c r="G1025" s="105"/>
      <c r="H1025" s="105"/>
      <c r="I1025" s="105"/>
      <c r="J1025" s="105"/>
      <c r="K1025" s="105"/>
      <c r="L1025" s="105"/>
      <c r="M1025" s="105"/>
    </row>
    <row r="1026" spans="2:13" ht="15">
      <c r="B1026" s="31"/>
      <c r="C1026" s="73"/>
      <c r="D1026" s="104" t="s">
        <v>1218</v>
      </c>
      <c r="G1026" s="105"/>
      <c r="H1026" s="105"/>
      <c r="I1026" s="105"/>
      <c r="J1026" s="105"/>
      <c r="K1026" s="105"/>
      <c r="L1026" s="105"/>
      <c r="M1026" s="105"/>
    </row>
    <row r="1027" spans="2:13" ht="15">
      <c r="B1027" s="31"/>
      <c r="C1027" s="73"/>
      <c r="D1027" s="102" t="s">
        <v>82</v>
      </c>
      <c r="G1027" s="105">
        <v>327572</v>
      </c>
      <c r="H1027" s="105">
        <v>4694189</v>
      </c>
      <c r="I1027" s="105">
        <v>2461331</v>
      </c>
      <c r="J1027" s="105">
        <v>0</v>
      </c>
      <c r="K1027" s="105">
        <v>0</v>
      </c>
      <c r="L1027" s="105">
        <v>0</v>
      </c>
      <c r="M1027" s="105">
        <f>SUM(G1027:L1027)</f>
        <v>7483092</v>
      </c>
    </row>
    <row r="1028" spans="2:13" ht="15">
      <c r="B1028" s="31"/>
      <c r="C1028" s="73"/>
      <c r="D1028" s="102" t="s">
        <v>1219</v>
      </c>
      <c r="G1028" s="105">
        <v>49066</v>
      </c>
      <c r="H1028" s="105">
        <v>2057841</v>
      </c>
      <c r="I1028" s="105">
        <v>446203</v>
      </c>
      <c r="J1028" s="105"/>
      <c r="K1028" s="105">
        <v>0</v>
      </c>
      <c r="L1028" s="105"/>
      <c r="M1028" s="105">
        <f>SUM(G1028:L1028)</f>
        <v>2553110</v>
      </c>
    </row>
    <row r="1029" spans="2:13" ht="15">
      <c r="B1029" s="31"/>
      <c r="C1029" s="73"/>
      <c r="D1029" s="109" t="s">
        <v>85</v>
      </c>
      <c r="G1029" s="105">
        <v>-349</v>
      </c>
      <c r="H1029" s="105">
        <f>-(924+106)</f>
        <v>-1030</v>
      </c>
      <c r="I1029" s="105">
        <v>-113006</v>
      </c>
      <c r="J1029" s="105"/>
      <c r="K1029" s="105">
        <v>0</v>
      </c>
      <c r="L1029" s="105"/>
      <c r="M1029" s="105">
        <f>SUM(G1029:L1029)</f>
        <v>-114385</v>
      </c>
    </row>
    <row r="1030" spans="2:13" ht="15">
      <c r="B1030" s="31"/>
      <c r="C1030" s="73"/>
      <c r="D1030" s="96" t="s">
        <v>1762</v>
      </c>
      <c r="E1030" s="63"/>
      <c r="F1030" s="63"/>
      <c r="G1030" s="107"/>
      <c r="H1030" s="107"/>
      <c r="I1030" s="107"/>
      <c r="J1030" s="107"/>
      <c r="K1030" s="107"/>
      <c r="L1030" s="107"/>
      <c r="M1030" s="107"/>
    </row>
    <row r="1031" spans="2:13" ht="15.75" thickBot="1">
      <c r="B1031" s="31"/>
      <c r="C1031" s="73"/>
      <c r="D1031" s="98" t="s">
        <v>84</v>
      </c>
      <c r="E1031" s="99"/>
      <c r="F1031" s="99"/>
      <c r="G1031" s="108">
        <f aca="true" t="shared" si="1" ref="G1031:M1031">SUM(G1027:G1030)</f>
        <v>376289</v>
      </c>
      <c r="H1031" s="108">
        <f t="shared" si="1"/>
        <v>6751000</v>
      </c>
      <c r="I1031" s="108">
        <f t="shared" si="1"/>
        <v>2794528</v>
      </c>
      <c r="J1031" s="108">
        <f t="shared" si="1"/>
        <v>0</v>
      </c>
      <c r="K1031" s="108">
        <f t="shared" si="1"/>
        <v>0</v>
      </c>
      <c r="L1031" s="108">
        <f t="shared" si="1"/>
        <v>0</v>
      </c>
      <c r="M1031" s="108">
        <f t="shared" si="1"/>
        <v>9921817</v>
      </c>
    </row>
    <row r="1032" spans="2:13" ht="15">
      <c r="B1032" s="31"/>
      <c r="C1032" s="73"/>
      <c r="D1032" s="102"/>
      <c r="G1032" s="105"/>
      <c r="H1032" s="105"/>
      <c r="I1032" s="105"/>
      <c r="J1032" s="105"/>
      <c r="K1032" s="105"/>
      <c r="L1032" s="105"/>
      <c r="M1032" s="105"/>
    </row>
    <row r="1033" spans="2:13" ht="15">
      <c r="B1033" s="31"/>
      <c r="C1033" s="73"/>
      <c r="D1033" s="96" t="s">
        <v>1220</v>
      </c>
      <c r="G1033" s="110"/>
      <c r="H1033" s="110"/>
      <c r="I1033" s="110"/>
      <c r="J1033" s="110"/>
      <c r="K1033" s="110"/>
      <c r="L1033" s="110"/>
      <c r="M1033" s="110"/>
    </row>
    <row r="1034" spans="2:13" ht="15.75" thickBot="1">
      <c r="B1034" s="31"/>
      <c r="C1034" s="73"/>
      <c r="D1034" s="111" t="s">
        <v>86</v>
      </c>
      <c r="G1034" s="110">
        <f aca="true" t="shared" si="2" ref="G1034:M1034">G1023-G1031</f>
        <v>997290</v>
      </c>
      <c r="H1034" s="110">
        <f t="shared" si="2"/>
        <v>22881987</v>
      </c>
      <c r="I1034" s="110">
        <f t="shared" si="2"/>
        <v>987786</v>
      </c>
      <c r="J1034" s="110">
        <f t="shared" si="2"/>
        <v>1440868</v>
      </c>
      <c r="K1034" s="110">
        <f t="shared" si="2"/>
        <v>612358</v>
      </c>
      <c r="L1034" s="110">
        <f t="shared" si="2"/>
        <v>0</v>
      </c>
      <c r="M1034" s="110">
        <f t="shared" si="2"/>
        <v>26920289</v>
      </c>
    </row>
    <row r="1035" spans="2:13" ht="15.75" thickTop="1">
      <c r="B1035" s="31"/>
      <c r="C1035" s="73"/>
      <c r="D1035" s="102"/>
      <c r="E1035" s="112"/>
      <c r="F1035" s="112"/>
      <c r="G1035" s="113"/>
      <c r="H1035" s="113"/>
      <c r="I1035" s="113"/>
      <c r="J1035" s="113"/>
      <c r="K1035" s="113"/>
      <c r="L1035" s="113"/>
      <c r="M1035" s="113"/>
    </row>
    <row r="1036" spans="2:13" ht="15">
      <c r="B1036" s="31"/>
      <c r="C1036" s="73"/>
      <c r="D1036" s="102" t="s">
        <v>1220</v>
      </c>
      <c r="E1036" s="31"/>
      <c r="F1036" s="31"/>
      <c r="G1036" s="105"/>
      <c r="H1036" s="105"/>
      <c r="I1036" s="105"/>
      <c r="J1036" s="105"/>
      <c r="K1036" s="105"/>
      <c r="L1036" s="105"/>
      <c r="M1036" s="105"/>
    </row>
    <row r="1037" spans="2:13" ht="15.75" thickBot="1">
      <c r="B1037" s="31"/>
      <c r="C1037" s="73"/>
      <c r="D1037" s="114" t="s">
        <v>167</v>
      </c>
      <c r="E1037" s="115"/>
      <c r="F1037" s="115"/>
      <c r="G1037" s="116">
        <f aca="true" t="shared" si="3" ref="G1037:M1037">G1019-G1027</f>
        <v>951648</v>
      </c>
      <c r="H1037" s="116">
        <f t="shared" si="3"/>
        <v>24205599</v>
      </c>
      <c r="I1037" s="116">
        <f t="shared" si="3"/>
        <v>815470</v>
      </c>
      <c r="J1037" s="116">
        <f t="shared" si="3"/>
        <v>474610</v>
      </c>
      <c r="K1037" s="116">
        <f t="shared" si="3"/>
        <v>0</v>
      </c>
      <c r="L1037" s="116">
        <f t="shared" si="3"/>
        <v>0</v>
      </c>
      <c r="M1037" s="116">
        <f t="shared" si="3"/>
        <v>26447327</v>
      </c>
    </row>
    <row r="1038" spans="2:13" ht="15.75" thickTop="1">
      <c r="B1038" s="31"/>
      <c r="C1038" s="73"/>
      <c r="E1038" s="31"/>
      <c r="F1038" s="31"/>
      <c r="G1038" s="31"/>
      <c r="H1038" s="31"/>
      <c r="I1038" s="31"/>
      <c r="J1038" s="31"/>
      <c r="K1038" s="31"/>
      <c r="L1038" s="31"/>
      <c r="M1038" s="31"/>
    </row>
    <row r="1039" spans="3:4" ht="15">
      <c r="C1039" s="73"/>
      <c r="D1039" s="117" t="s">
        <v>87</v>
      </c>
    </row>
    <row r="1040" spans="3:4" ht="15">
      <c r="C1040" s="73"/>
      <c r="D1040" s="9" t="s">
        <v>88</v>
      </c>
    </row>
    <row r="1041" ht="15">
      <c r="C1041" s="73"/>
    </row>
    <row r="1042" spans="3:4" ht="15">
      <c r="C1042" s="73"/>
      <c r="D1042" s="8" t="s">
        <v>89</v>
      </c>
    </row>
    <row r="1043" spans="3:4" ht="15">
      <c r="C1043" s="73"/>
      <c r="D1043" s="9" t="s">
        <v>90</v>
      </c>
    </row>
    <row r="1044" spans="3:4" ht="15">
      <c r="C1044" s="73"/>
      <c r="D1044" s="9" t="s">
        <v>91</v>
      </c>
    </row>
    <row r="1045" spans="3:4" ht="15">
      <c r="C1045" s="73"/>
      <c r="D1045" s="9" t="s">
        <v>92</v>
      </c>
    </row>
    <row r="1046" ht="15">
      <c r="C1046" s="73"/>
    </row>
    <row r="1047" ht="15">
      <c r="C1047" s="73"/>
    </row>
    <row r="1048" spans="2:3" ht="15">
      <c r="B1048" s="34"/>
      <c r="C1048" s="77" t="s">
        <v>1759</v>
      </c>
    </row>
    <row r="1049" spans="2:3" ht="15">
      <c r="B1049" s="31"/>
      <c r="C1049" s="73"/>
    </row>
    <row r="1050" spans="2:3" ht="15">
      <c r="B1050" s="34"/>
      <c r="C1050" s="8" t="s">
        <v>93</v>
      </c>
    </row>
    <row r="1051" spans="2:3" ht="15">
      <c r="B1051" s="34"/>
      <c r="C1051" s="13" t="s">
        <v>94</v>
      </c>
    </row>
    <row r="1052" spans="2:8" ht="15">
      <c r="B1052" s="34"/>
      <c r="C1052" s="77"/>
      <c r="G1052" s="84" t="s">
        <v>1613</v>
      </c>
      <c r="H1052" s="84" t="s">
        <v>55</v>
      </c>
    </row>
    <row r="1053" spans="2:8" ht="15">
      <c r="B1053" s="34"/>
      <c r="C1053" s="77"/>
      <c r="G1053" s="91" t="s">
        <v>1113</v>
      </c>
      <c r="H1053" s="91" t="s">
        <v>1113</v>
      </c>
    </row>
    <row r="1054" spans="2:4" ht="15">
      <c r="B1054" s="34"/>
      <c r="C1054" s="77" t="s">
        <v>95</v>
      </c>
      <c r="D1054" s="8" t="s">
        <v>604</v>
      </c>
    </row>
    <row r="1055" spans="2:8" ht="15">
      <c r="B1055" s="34"/>
      <c r="C1055" s="77"/>
      <c r="D1055" s="9" t="s">
        <v>96</v>
      </c>
      <c r="G1055" s="6">
        <v>9617689</v>
      </c>
      <c r="H1055" s="6">
        <v>9517135</v>
      </c>
    </row>
    <row r="1056" spans="2:8" ht="15">
      <c r="B1056" s="34"/>
      <c r="C1056" s="77"/>
      <c r="D1056" s="9" t="s">
        <v>1117</v>
      </c>
      <c r="G1056" s="6">
        <v>1343233</v>
      </c>
      <c r="H1056" s="6">
        <v>642058</v>
      </c>
    </row>
    <row r="1057" spans="2:8" ht="17.25">
      <c r="B1057" s="34"/>
      <c r="C1057" s="77"/>
      <c r="D1057" s="9" t="s">
        <v>97</v>
      </c>
      <c r="G1057" s="85">
        <v>140068</v>
      </c>
      <c r="H1057" s="85">
        <v>358644</v>
      </c>
    </row>
    <row r="1058" spans="2:8" ht="16.5">
      <c r="B1058" s="34"/>
      <c r="C1058" s="77"/>
      <c r="D1058" s="8" t="s">
        <v>1207</v>
      </c>
      <c r="G1058" s="26">
        <f>SUM(G1055:G1057)</f>
        <v>11100990</v>
      </c>
      <c r="H1058" s="26">
        <f>SUM(H1055:H1057)</f>
        <v>10517837</v>
      </c>
    </row>
    <row r="1059" spans="2:8" ht="15">
      <c r="B1059" s="34"/>
      <c r="C1059" s="77"/>
      <c r="G1059" s="6"/>
      <c r="H1059" s="6"/>
    </row>
    <row r="1060" spans="2:8" ht="15">
      <c r="B1060" s="34"/>
      <c r="C1060" s="77"/>
      <c r="G1060" s="6"/>
      <c r="H1060" s="6"/>
    </row>
    <row r="1061" spans="2:8" ht="15">
      <c r="B1061" s="34"/>
      <c r="C1061" s="77" t="s">
        <v>98</v>
      </c>
      <c r="D1061" s="8" t="s">
        <v>605</v>
      </c>
      <c r="G1061" s="6"/>
      <c r="H1061" s="6"/>
    </row>
    <row r="1062" spans="2:8" ht="15">
      <c r="B1062" s="34"/>
      <c r="C1062" s="77"/>
      <c r="D1062" s="9" t="s">
        <v>420</v>
      </c>
      <c r="G1062" s="6">
        <v>2457359</v>
      </c>
      <c r="H1062" s="6">
        <v>2204258</v>
      </c>
    </row>
    <row r="1063" spans="2:8" ht="17.25">
      <c r="B1063" s="34"/>
      <c r="C1063" s="77"/>
      <c r="D1063" s="9" t="s">
        <v>421</v>
      </c>
      <c r="G1063" s="85">
        <v>-430435</v>
      </c>
      <c r="H1063" s="85">
        <v>-191660</v>
      </c>
    </row>
    <row r="1064" spans="2:8" ht="16.5">
      <c r="B1064" s="34"/>
      <c r="C1064" s="77"/>
      <c r="D1064" s="8" t="s">
        <v>1207</v>
      </c>
      <c r="G1064" s="26">
        <f>SUM(G1062:G1063)</f>
        <v>2026924</v>
      </c>
      <c r="H1064" s="26">
        <f>SUM(H1062:H1063)</f>
        <v>2012598</v>
      </c>
    </row>
    <row r="1065" spans="3:8" ht="15">
      <c r="C1065" s="77"/>
      <c r="G1065" s="6"/>
      <c r="H1065" s="6"/>
    </row>
    <row r="1066" spans="3:8" ht="15">
      <c r="C1066" s="77"/>
      <c r="G1066" s="6"/>
      <c r="H1066" s="6"/>
    </row>
    <row r="1067" spans="3:8" ht="15">
      <c r="C1067" s="77"/>
      <c r="G1067" s="6"/>
      <c r="H1067" s="6"/>
    </row>
    <row r="1068" spans="3:8" ht="15">
      <c r="C1068" s="77" t="s">
        <v>99</v>
      </c>
      <c r="D1068" s="8" t="s">
        <v>100</v>
      </c>
      <c r="G1068" s="6"/>
      <c r="H1068" s="6"/>
    </row>
    <row r="1069" spans="3:8" ht="15">
      <c r="C1069" s="77"/>
      <c r="G1069" s="6"/>
      <c r="H1069" s="6"/>
    </row>
    <row r="1070" spans="3:8" ht="15">
      <c r="C1070" s="77"/>
      <c r="D1070" s="9" t="s">
        <v>1221</v>
      </c>
      <c r="G1070" s="6">
        <v>978120</v>
      </c>
      <c r="H1070" s="6">
        <v>969623.97</v>
      </c>
    </row>
    <row r="1071" spans="3:8" ht="15">
      <c r="C1071" s="77"/>
      <c r="D1071" s="9" t="s">
        <v>1222</v>
      </c>
      <c r="G1071" s="6">
        <v>40819</v>
      </c>
      <c r="H1071" s="6">
        <v>126019</v>
      </c>
    </row>
    <row r="1072" spans="3:8" ht="15">
      <c r="C1072" s="77"/>
      <c r="D1072" s="9" t="s">
        <v>1223</v>
      </c>
      <c r="G1072" s="6">
        <v>102420</v>
      </c>
      <c r="H1072" s="6">
        <v>37689.284</v>
      </c>
    </row>
    <row r="1073" spans="3:8" ht="17.25">
      <c r="C1073" s="77"/>
      <c r="D1073" s="9" t="s">
        <v>1080</v>
      </c>
      <c r="G1073" s="85">
        <v>595760</v>
      </c>
      <c r="H1073" s="85">
        <v>1116397</v>
      </c>
    </row>
    <row r="1074" spans="3:8" ht="15">
      <c r="C1074" s="77"/>
      <c r="G1074" s="6">
        <f>SUM(G1070:G1073)</f>
        <v>1717119</v>
      </c>
      <c r="H1074" s="6">
        <f>SUM(H1070:H1073)</f>
        <v>2249729.2539999997</v>
      </c>
    </row>
    <row r="1075" spans="3:8" ht="17.25">
      <c r="C1075" s="77"/>
      <c r="D1075" s="8" t="s">
        <v>1233</v>
      </c>
      <c r="G1075" s="85">
        <v>-81048</v>
      </c>
      <c r="H1075" s="85">
        <v>-241456.788</v>
      </c>
    </row>
    <row r="1076" spans="3:8" ht="16.5">
      <c r="C1076" s="77"/>
      <c r="D1076" s="8" t="s">
        <v>1207</v>
      </c>
      <c r="G1076" s="26">
        <f>SUM(G1074:G1075)</f>
        <v>1636071</v>
      </c>
      <c r="H1076" s="26">
        <f>SUM(H1074:H1075)</f>
        <v>2008272.4659999998</v>
      </c>
    </row>
    <row r="1077" ht="15">
      <c r="C1077" s="77"/>
    </row>
    <row r="1078" ht="15">
      <c r="C1078" s="77"/>
    </row>
    <row r="1079" spans="3:4" ht="15">
      <c r="C1079" s="77" t="s">
        <v>101</v>
      </c>
      <c r="D1079" s="8" t="s">
        <v>102</v>
      </c>
    </row>
    <row r="1080" spans="3:4" ht="15">
      <c r="C1080" s="77"/>
      <c r="D1080" s="8"/>
    </row>
    <row r="1081" spans="3:4" ht="15">
      <c r="C1081" s="73"/>
      <c r="D1081" s="8" t="s">
        <v>1081</v>
      </c>
    </row>
    <row r="1082" spans="3:8" ht="16.5">
      <c r="C1082" s="73"/>
      <c r="D1082" s="9" t="s">
        <v>1093</v>
      </c>
      <c r="G1082" s="26">
        <v>3598462</v>
      </c>
      <c r="H1082" s="26">
        <v>3598462</v>
      </c>
    </row>
    <row r="1083" ht="15">
      <c r="C1083" s="73"/>
    </row>
    <row r="1084" spans="3:4" ht="15">
      <c r="C1084" s="73"/>
      <c r="D1084" s="8" t="s">
        <v>1094</v>
      </c>
    </row>
    <row r="1085" spans="3:6" ht="15">
      <c r="C1085" s="73"/>
      <c r="D1085" s="8" t="s">
        <v>103</v>
      </c>
      <c r="F1085" s="84" t="s">
        <v>104</v>
      </c>
    </row>
    <row r="1086" spans="3:8" ht="15">
      <c r="C1086" s="73"/>
      <c r="D1086" s="9" t="s">
        <v>1629</v>
      </c>
      <c r="F1086" s="6">
        <v>1139184</v>
      </c>
      <c r="G1086" s="6">
        <f aca="true" t="shared" si="4" ref="G1086:G1092">F1086*2</f>
        <v>2278368</v>
      </c>
      <c r="H1086" s="6">
        <f aca="true" t="shared" si="5" ref="H1086:H1092">F1086*2</f>
        <v>2278368</v>
      </c>
    </row>
    <row r="1087" spans="3:8" ht="15">
      <c r="C1087" s="73"/>
      <c r="D1087" s="9" t="s">
        <v>1095</v>
      </c>
      <c r="F1087" s="6">
        <v>539754</v>
      </c>
      <c r="G1087" s="6">
        <f t="shared" si="4"/>
        <v>1079508</v>
      </c>
      <c r="H1087" s="6">
        <f t="shared" si="5"/>
        <v>1079508</v>
      </c>
    </row>
    <row r="1088" spans="3:8" ht="15">
      <c r="C1088" s="73"/>
      <c r="D1088" s="9" t="s">
        <v>1096</v>
      </c>
      <c r="F1088" s="6">
        <v>107954</v>
      </c>
      <c r="G1088" s="6">
        <f t="shared" si="4"/>
        <v>215908</v>
      </c>
      <c r="H1088" s="6">
        <f t="shared" si="5"/>
        <v>215908</v>
      </c>
    </row>
    <row r="1089" spans="3:8" ht="15">
      <c r="C1089" s="73"/>
      <c r="D1089" s="9" t="s">
        <v>416</v>
      </c>
      <c r="F1089" s="6">
        <v>12336</v>
      </c>
      <c r="G1089" s="6">
        <f t="shared" si="4"/>
        <v>24672</v>
      </c>
      <c r="H1089" s="6">
        <f t="shared" si="5"/>
        <v>24672</v>
      </c>
    </row>
    <row r="1090" spans="3:8" ht="15">
      <c r="C1090" s="73"/>
      <c r="D1090" s="9" t="s">
        <v>105</v>
      </c>
      <c r="F1090" s="6">
        <v>1</v>
      </c>
      <c r="G1090" s="6">
        <f t="shared" si="4"/>
        <v>2</v>
      </c>
      <c r="H1090" s="6">
        <f t="shared" si="5"/>
        <v>2</v>
      </c>
    </row>
    <row r="1091" spans="3:8" ht="15">
      <c r="C1091" s="73"/>
      <c r="D1091" s="9" t="s">
        <v>106</v>
      </c>
      <c r="F1091" s="6">
        <v>1</v>
      </c>
      <c r="G1091" s="6">
        <f t="shared" si="4"/>
        <v>2</v>
      </c>
      <c r="H1091" s="6">
        <f t="shared" si="5"/>
        <v>2</v>
      </c>
    </row>
    <row r="1092" spans="3:8" ht="17.25">
      <c r="C1092" s="73"/>
      <c r="D1092" s="9" t="s">
        <v>107</v>
      </c>
      <c r="F1092" s="85">
        <v>1</v>
      </c>
      <c r="G1092" s="85">
        <f t="shared" si="4"/>
        <v>2</v>
      </c>
      <c r="H1092" s="85">
        <f t="shared" si="5"/>
        <v>2</v>
      </c>
    </row>
    <row r="1093" spans="3:8" ht="16.5">
      <c r="C1093" s="73"/>
      <c r="D1093" s="8" t="s">
        <v>1207</v>
      </c>
      <c r="F1093" s="26">
        <f>SUM(F1086:F1092)</f>
        <v>1799231</v>
      </c>
      <c r="G1093" s="26">
        <f>SUM(G1086:G1092)</f>
        <v>3598462</v>
      </c>
      <c r="H1093" s="26">
        <f>SUM(H1086:H1092)</f>
        <v>3598462</v>
      </c>
    </row>
    <row r="1094" spans="3:8" ht="15">
      <c r="C1094" s="73"/>
      <c r="F1094" s="6"/>
      <c r="G1094" s="6"/>
      <c r="H1094" s="6"/>
    </row>
    <row r="1095" spans="3:8" ht="15">
      <c r="C1095" s="77" t="s">
        <v>108</v>
      </c>
      <c r="D1095" s="8" t="s">
        <v>1427</v>
      </c>
      <c r="F1095" s="6"/>
      <c r="G1095" s="6"/>
      <c r="H1095" s="6"/>
    </row>
    <row r="1096" spans="3:8" ht="15">
      <c r="C1096" s="73"/>
      <c r="F1096" s="6"/>
      <c r="G1096" s="6"/>
      <c r="H1096" s="6"/>
    </row>
    <row r="1097" spans="3:8" ht="15">
      <c r="C1097" s="73"/>
      <c r="D1097" s="31" t="s">
        <v>1428</v>
      </c>
      <c r="F1097" s="6"/>
      <c r="G1097" s="6">
        <v>730275.705</v>
      </c>
      <c r="H1097" s="6">
        <v>780640</v>
      </c>
    </row>
    <row r="1098" spans="3:8" ht="17.25">
      <c r="C1098" s="73"/>
      <c r="D1098" s="31" t="s">
        <v>417</v>
      </c>
      <c r="F1098" s="6"/>
      <c r="G1098" s="85">
        <v>-50363.841</v>
      </c>
      <c r="H1098" s="85">
        <v>-50364</v>
      </c>
    </row>
    <row r="1099" spans="3:8" ht="16.5">
      <c r="C1099" s="73"/>
      <c r="D1099" s="8" t="s">
        <v>1429</v>
      </c>
      <c r="F1099" s="6"/>
      <c r="G1099" s="26">
        <f>SUM(G1097:G1098)</f>
        <v>679911.864</v>
      </c>
      <c r="H1099" s="26">
        <f>SUM(H1097:H1098)</f>
        <v>730276</v>
      </c>
    </row>
    <row r="1100" ht="15">
      <c r="C1100" s="73"/>
    </row>
    <row r="1101" spans="3:4" ht="15">
      <c r="C1101" s="73"/>
      <c r="D1101" s="9" t="s">
        <v>971</v>
      </c>
    </row>
    <row r="1102" spans="3:4" ht="15">
      <c r="C1102" s="73"/>
      <c r="D1102" s="9" t="s">
        <v>1628</v>
      </c>
    </row>
    <row r="1103" spans="3:4" ht="15">
      <c r="C1103" s="73"/>
      <c r="D1103" s="9" t="s">
        <v>418</v>
      </c>
    </row>
    <row r="1104" spans="3:4" ht="15">
      <c r="C1104" s="73"/>
      <c r="D1104" s="9" t="s">
        <v>41</v>
      </c>
    </row>
    <row r="1105" spans="3:4" ht="15">
      <c r="C1105" s="73"/>
      <c r="D1105" s="9" t="s">
        <v>42</v>
      </c>
    </row>
    <row r="1106" spans="3:4" ht="15">
      <c r="C1106" s="73"/>
      <c r="D1106" s="9" t="s">
        <v>44</v>
      </c>
    </row>
    <row r="1107" spans="3:4" ht="15">
      <c r="C1107" s="73"/>
      <c r="D1107" s="9" t="s">
        <v>972</v>
      </c>
    </row>
    <row r="1108" ht="15">
      <c r="C1108" s="73"/>
    </row>
    <row r="1109" ht="15">
      <c r="C1109" s="73"/>
    </row>
    <row r="1110" spans="3:4" ht="15">
      <c r="C1110" s="77" t="s">
        <v>1430</v>
      </c>
      <c r="D1110" s="8" t="s">
        <v>43</v>
      </c>
    </row>
    <row r="1111" spans="3:8" ht="15">
      <c r="C1111" s="77"/>
      <c r="D1111" s="8"/>
      <c r="G1111" s="84" t="s">
        <v>1613</v>
      </c>
      <c r="H1111" s="84" t="s">
        <v>55</v>
      </c>
    </row>
    <row r="1112" spans="3:8" ht="15">
      <c r="C1112" s="77"/>
      <c r="D1112" s="8"/>
      <c r="G1112" s="91" t="s">
        <v>1113</v>
      </c>
      <c r="H1112" s="91" t="s">
        <v>1113</v>
      </c>
    </row>
    <row r="1113" ht="15">
      <c r="C1113" s="73"/>
    </row>
    <row r="1114" spans="3:8" ht="16.5">
      <c r="C1114" s="73"/>
      <c r="D1114" s="31" t="s">
        <v>970</v>
      </c>
      <c r="G1114" s="26">
        <v>0</v>
      </c>
      <c r="H1114" s="26">
        <v>-5337799</v>
      </c>
    </row>
    <row r="1115" spans="3:4" ht="15">
      <c r="C1115" s="73"/>
      <c r="D1115" s="31"/>
    </row>
    <row r="1116" ht="15">
      <c r="C1116" s="73"/>
    </row>
    <row r="1117" spans="3:4" ht="15">
      <c r="C1117" s="73"/>
      <c r="D1117" s="9" t="s">
        <v>1630</v>
      </c>
    </row>
    <row r="1118" spans="3:4" ht="15">
      <c r="C1118" s="73"/>
      <c r="D1118" s="9" t="s">
        <v>1324</v>
      </c>
    </row>
    <row r="1119" spans="3:4" ht="15">
      <c r="C1119" s="73"/>
      <c r="D1119" s="9" t="s">
        <v>1431</v>
      </c>
    </row>
    <row r="1120" spans="3:4" ht="15">
      <c r="C1120" s="73"/>
      <c r="D1120" s="9" t="s">
        <v>1432</v>
      </c>
    </row>
    <row r="1121" ht="15">
      <c r="C1121" s="73"/>
    </row>
    <row r="1122" spans="3:4" ht="15">
      <c r="C1122" s="73"/>
      <c r="D1122" s="9" t="s">
        <v>1327</v>
      </c>
    </row>
    <row r="1123" spans="3:4" ht="15">
      <c r="C1123" s="10" t="s">
        <v>883</v>
      </c>
      <c r="D1123" s="11" t="s">
        <v>1608</v>
      </c>
    </row>
    <row r="1124" spans="3:4" ht="15">
      <c r="C1124" s="10"/>
      <c r="D1124" s="11" t="s">
        <v>1609</v>
      </c>
    </row>
    <row r="1125" spans="3:4" ht="15">
      <c r="C1125" s="10" t="s">
        <v>884</v>
      </c>
      <c r="D1125" s="12" t="s">
        <v>1325</v>
      </c>
    </row>
    <row r="1126" spans="3:4" ht="15">
      <c r="C1126" s="10"/>
      <c r="D1126" s="12" t="s">
        <v>886</v>
      </c>
    </row>
    <row r="1127" spans="3:4" ht="15">
      <c r="C1127" s="10" t="s">
        <v>885</v>
      </c>
      <c r="D1127" s="12" t="s">
        <v>1326</v>
      </c>
    </row>
    <row r="1130" ht="15">
      <c r="C1130" s="77" t="s">
        <v>1759</v>
      </c>
    </row>
    <row r="1131" ht="15">
      <c r="C1131" s="73"/>
    </row>
    <row r="1132" ht="15">
      <c r="C1132" s="8" t="s">
        <v>93</v>
      </c>
    </row>
    <row r="1133" ht="15">
      <c r="C1133" s="13" t="s">
        <v>94</v>
      </c>
    </row>
    <row r="1134" ht="15">
      <c r="C1134" s="73"/>
    </row>
    <row r="1135" spans="3:8" ht="15">
      <c r="C1135" s="73"/>
      <c r="D1135" s="13"/>
      <c r="G1135" s="84" t="s">
        <v>1613</v>
      </c>
      <c r="H1135" s="84" t="s">
        <v>55</v>
      </c>
    </row>
    <row r="1136" spans="3:8" ht="15">
      <c r="C1136" s="73"/>
      <c r="G1136" s="91" t="s">
        <v>1113</v>
      </c>
      <c r="H1136" s="91" t="s">
        <v>1113</v>
      </c>
    </row>
    <row r="1137" spans="3:4" ht="15">
      <c r="C1137" s="118" t="s">
        <v>1433</v>
      </c>
      <c r="D1137" s="8" t="s">
        <v>1600</v>
      </c>
    </row>
    <row r="1138" spans="4:8" ht="15">
      <c r="D1138" s="31" t="s">
        <v>426</v>
      </c>
      <c r="G1138" s="6">
        <v>31113</v>
      </c>
      <c r="H1138" s="6">
        <v>47744</v>
      </c>
    </row>
    <row r="1139" spans="4:8" ht="15">
      <c r="D1139" s="31" t="s">
        <v>427</v>
      </c>
      <c r="G1139" s="6">
        <v>2609260</v>
      </c>
      <c r="H1139" s="6">
        <v>5384019</v>
      </c>
    </row>
    <row r="1140" spans="4:8" ht="15">
      <c r="D1140" s="31" t="s">
        <v>1598</v>
      </c>
      <c r="G1140" s="6">
        <v>2922660</v>
      </c>
      <c r="H1140" s="6">
        <v>2300723</v>
      </c>
    </row>
    <row r="1141" spans="4:8" ht="17.25">
      <c r="D1141" s="31" t="s">
        <v>428</v>
      </c>
      <c r="G1141" s="85">
        <v>653290</v>
      </c>
      <c r="H1141" s="85">
        <v>394079</v>
      </c>
    </row>
    <row r="1142" spans="4:8" ht="16.5">
      <c r="D1142" s="117" t="s">
        <v>1207</v>
      </c>
      <c r="G1142" s="26">
        <f>SUM(G1138:G1141)</f>
        <v>6216323</v>
      </c>
      <c r="H1142" s="26">
        <f>SUM(H1138:H1141)</f>
        <v>8126565</v>
      </c>
    </row>
    <row r="1143" spans="3:8" ht="15">
      <c r="C1143" s="73"/>
      <c r="G1143" s="6"/>
      <c r="H1143" s="6"/>
    </row>
    <row r="1144" spans="4:8" ht="15">
      <c r="D1144" s="7"/>
      <c r="G1144" s="6"/>
      <c r="H1144" s="6"/>
    </row>
    <row r="1145" spans="3:8" ht="15">
      <c r="C1145" s="118" t="s">
        <v>1434</v>
      </c>
      <c r="D1145" s="8" t="s">
        <v>388</v>
      </c>
      <c r="G1145" s="6"/>
      <c r="H1145" s="6"/>
    </row>
    <row r="1146" spans="3:8" ht="15">
      <c r="C1146" s="118" t="s">
        <v>52</v>
      </c>
      <c r="D1146" s="8" t="s">
        <v>45</v>
      </c>
      <c r="G1146" s="6"/>
      <c r="H1146" s="6"/>
    </row>
    <row r="1147" spans="3:8" ht="15">
      <c r="C1147" s="20"/>
      <c r="D1147" s="31" t="s">
        <v>1548</v>
      </c>
      <c r="G1147" s="6">
        <v>4816916</v>
      </c>
      <c r="H1147" s="6">
        <v>0</v>
      </c>
    </row>
    <row r="1148" spans="3:8" ht="17.25">
      <c r="C1148" s="20"/>
      <c r="D1148" s="31" t="s">
        <v>1604</v>
      </c>
      <c r="G1148" s="85">
        <v>73437</v>
      </c>
      <c r="H1148" s="85">
        <v>0</v>
      </c>
    </row>
    <row r="1149" spans="3:8" ht="15">
      <c r="C1149" s="20"/>
      <c r="D1149" s="31"/>
      <c r="G1149" s="6">
        <f>SUM(G1147:G1148)</f>
        <v>4890353</v>
      </c>
      <c r="H1149" s="6">
        <f>SUM(H1147:H1148)</f>
        <v>0</v>
      </c>
    </row>
    <row r="1150" spans="3:8" ht="17.25">
      <c r="C1150" s="20"/>
      <c r="D1150" s="31" t="s">
        <v>384</v>
      </c>
      <c r="G1150" s="85">
        <v>1891422</v>
      </c>
      <c r="H1150" s="85">
        <v>2278528</v>
      </c>
    </row>
    <row r="1151" spans="3:8" ht="16.5">
      <c r="C1151" s="20"/>
      <c r="G1151" s="26">
        <f>SUM(G1149:G1150)</f>
        <v>6781775</v>
      </c>
      <c r="H1151" s="26">
        <f>SUM(H1149:H1150)</f>
        <v>2278528</v>
      </c>
    </row>
    <row r="1152" spans="3:8" ht="15">
      <c r="C1152" s="20"/>
      <c r="G1152" s="6"/>
      <c r="H1152" s="6"/>
    </row>
    <row r="1153" spans="3:8" ht="15">
      <c r="C1153" s="20"/>
      <c r="D1153" s="9" t="s">
        <v>1097</v>
      </c>
      <c r="G1153" s="6"/>
      <c r="H1153" s="6"/>
    </row>
    <row r="1154" spans="3:8" ht="15">
      <c r="C1154" s="20"/>
      <c r="D1154" s="9" t="s">
        <v>1098</v>
      </c>
      <c r="G1154" s="6"/>
      <c r="H1154" s="6"/>
    </row>
    <row r="1155" spans="3:8" ht="15">
      <c r="C1155" s="20"/>
      <c r="D1155" s="9" t="s">
        <v>1099</v>
      </c>
      <c r="G1155" s="6"/>
      <c r="H1155" s="6"/>
    </row>
    <row r="1156" spans="3:8" ht="15">
      <c r="C1156" s="20"/>
      <c r="D1156" s="9" t="s">
        <v>1408</v>
      </c>
      <c r="G1156" s="6"/>
      <c r="H1156" s="6"/>
    </row>
    <row r="1157" spans="3:8" ht="15">
      <c r="C1157" s="20"/>
      <c r="G1157" s="6"/>
      <c r="H1157" s="6"/>
    </row>
    <row r="1158" spans="3:8" ht="15">
      <c r="C1158" s="20"/>
      <c r="D1158" s="9" t="s">
        <v>387</v>
      </c>
      <c r="G1158" s="6"/>
      <c r="H1158" s="6"/>
    </row>
    <row r="1159" spans="3:8" ht="15">
      <c r="C1159" s="20"/>
      <c r="D1159" s="9" t="s">
        <v>1409</v>
      </c>
      <c r="G1159" s="6"/>
      <c r="H1159" s="6"/>
    </row>
    <row r="1160" spans="3:8" ht="15">
      <c r="C1160" s="20"/>
      <c r="G1160" s="6"/>
      <c r="H1160" s="6"/>
    </row>
    <row r="1161" spans="3:8" ht="15">
      <c r="C1161" s="20"/>
      <c r="G1161" s="6"/>
      <c r="H1161" s="6"/>
    </row>
    <row r="1162" spans="7:8" ht="15">
      <c r="G1162" s="6"/>
      <c r="H1162" s="6"/>
    </row>
    <row r="1163" spans="4:8" ht="15">
      <c r="D1163" s="8" t="s">
        <v>388</v>
      </c>
      <c r="G1163" s="6"/>
      <c r="H1163" s="6"/>
    </row>
    <row r="1164" spans="3:8" ht="15">
      <c r="C1164" s="20"/>
      <c r="G1164" s="6"/>
      <c r="H1164" s="6"/>
    </row>
    <row r="1165" spans="3:8" ht="15">
      <c r="C1165" s="118" t="s">
        <v>53</v>
      </c>
      <c r="D1165" s="8" t="s">
        <v>818</v>
      </c>
      <c r="G1165" s="6"/>
      <c r="H1165" s="6"/>
    </row>
    <row r="1166" spans="3:8" ht="15">
      <c r="C1166" s="118"/>
      <c r="D1166" s="8" t="s">
        <v>497</v>
      </c>
      <c r="G1166" s="6"/>
      <c r="H1166" s="6"/>
    </row>
    <row r="1167" spans="3:8" ht="15">
      <c r="C1167" s="118"/>
      <c r="D1167" s="8"/>
      <c r="G1167" s="6"/>
      <c r="H1167" s="6"/>
    </row>
    <row r="1168" spans="3:8" ht="17.25">
      <c r="C1168" s="20"/>
      <c r="D1168" s="9" t="s">
        <v>385</v>
      </c>
      <c r="G1168" s="85">
        <f>G891</f>
        <v>22410161.152280014</v>
      </c>
      <c r="H1168" s="85">
        <f>H891</f>
        <v>11199049.231</v>
      </c>
    </row>
    <row r="1169" spans="3:8" ht="15">
      <c r="C1169" s="20"/>
      <c r="D1169" s="9" t="s">
        <v>386</v>
      </c>
      <c r="G1169" s="6">
        <f>G1168*0.3</f>
        <v>6723048.345684004</v>
      </c>
      <c r="H1169" s="6">
        <f>H1168*0.3</f>
        <v>3359714.7693000003</v>
      </c>
    </row>
    <row r="1170" spans="3:8" ht="15">
      <c r="C1170" s="20"/>
      <c r="D1170" s="9" t="s">
        <v>1410</v>
      </c>
      <c r="G1170" s="6">
        <v>73437</v>
      </c>
      <c r="H1170" s="6">
        <v>0</v>
      </c>
    </row>
    <row r="1171" spans="3:8" ht="15">
      <c r="C1171" s="20"/>
      <c r="D1171" s="75" t="s">
        <v>1411</v>
      </c>
      <c r="G1171" s="6"/>
      <c r="H1171" s="6"/>
    </row>
    <row r="1172" spans="3:8" ht="15">
      <c r="C1172" s="20"/>
      <c r="D1172" s="9" t="s">
        <v>1564</v>
      </c>
      <c r="G1172" s="6">
        <f>(2631193677*0.3*0.001)</f>
        <v>789358.1031000001</v>
      </c>
      <c r="H1172" s="6">
        <v>526060</v>
      </c>
    </row>
    <row r="1173" spans="3:8" ht="15">
      <c r="C1173" s="20"/>
      <c r="D1173" s="9" t="s">
        <v>1412</v>
      </c>
      <c r="G1173" s="6">
        <f>-(364154911*0.3*0.001)</f>
        <v>-109246.4733</v>
      </c>
      <c r="H1173" s="6">
        <v>-5949659</v>
      </c>
    </row>
    <row r="1174" spans="3:8" ht="15">
      <c r="C1174" s="20"/>
      <c r="D1174" s="9" t="s">
        <v>1413</v>
      </c>
      <c r="G1174" s="6">
        <f>-(7182263362*0.3*0.001)</f>
        <v>-2154679.0086</v>
      </c>
      <c r="H1174" s="6">
        <v>0</v>
      </c>
    </row>
    <row r="1175" spans="3:8" ht="17.25">
      <c r="C1175" s="20"/>
      <c r="D1175" s="9" t="s">
        <v>1414</v>
      </c>
      <c r="G1175" s="85">
        <f>-(1438550547*0.3*0.001)</f>
        <v>-431565.1641</v>
      </c>
      <c r="H1175" s="85">
        <v>119</v>
      </c>
    </row>
    <row r="1176" spans="3:8" ht="17.25">
      <c r="C1176" s="20"/>
      <c r="D1176" s="9" t="s">
        <v>496</v>
      </c>
      <c r="G1176" s="85">
        <v>0</v>
      </c>
      <c r="H1176" s="85">
        <f>SUM(H1169:H1175)</f>
        <v>-2063765.2306999997</v>
      </c>
    </row>
    <row r="1177" spans="3:8" ht="16.5">
      <c r="C1177" s="20"/>
      <c r="D1177" s="8" t="s">
        <v>383</v>
      </c>
      <c r="G1177" s="26">
        <f>SUM(G1169:G1176)</f>
        <v>4890352.802784004</v>
      </c>
      <c r="H1177" s="26">
        <v>0</v>
      </c>
    </row>
    <row r="1178" spans="3:8" ht="15">
      <c r="C1178" s="20"/>
      <c r="G1178" s="6"/>
      <c r="H1178" s="6"/>
    </row>
    <row r="1179" spans="3:8" ht="15">
      <c r="C1179" s="118" t="s">
        <v>54</v>
      </c>
      <c r="D1179" s="8" t="s">
        <v>608</v>
      </c>
      <c r="G1179" s="6"/>
      <c r="H1179" s="6"/>
    </row>
    <row r="1180" spans="3:8" ht="15">
      <c r="C1180" s="20"/>
      <c r="G1180" s="6"/>
      <c r="H1180" s="6"/>
    </row>
    <row r="1181" spans="3:8" ht="15">
      <c r="C1181" s="20"/>
      <c r="D1181" s="9" t="s">
        <v>382</v>
      </c>
      <c r="G1181" s="6">
        <v>23925943</v>
      </c>
      <c r="H1181" s="6">
        <v>25074693</v>
      </c>
    </row>
    <row r="1182" spans="3:8" ht="17.25">
      <c r="C1182" s="20"/>
      <c r="D1182" s="9" t="s">
        <v>609</v>
      </c>
      <c r="G1182" s="85">
        <v>0</v>
      </c>
      <c r="H1182" s="85">
        <v>-7453487</v>
      </c>
    </row>
    <row r="1183" spans="3:8" ht="17.25">
      <c r="C1183" s="20"/>
      <c r="G1183" s="85">
        <f>SUM(G1181:G1182)</f>
        <v>23925943</v>
      </c>
      <c r="H1183" s="85">
        <f>SUM(H1181:H1182)</f>
        <v>17621206</v>
      </c>
    </row>
    <row r="1184" spans="3:8" ht="15">
      <c r="C1184" s="20"/>
      <c r="D1184" s="9" t="s">
        <v>1100</v>
      </c>
      <c r="G1184" s="6">
        <f>G1183*0.3</f>
        <v>7177782.899999999</v>
      </c>
      <c r="H1184" s="6">
        <f>H1183*0.3</f>
        <v>5286361.8</v>
      </c>
    </row>
    <row r="1185" spans="3:8" ht="17.25">
      <c r="C1185" s="20"/>
      <c r="D1185" s="9" t="s">
        <v>51</v>
      </c>
      <c r="G1185" s="85">
        <v>-5286361</v>
      </c>
      <c r="H1185" s="85">
        <v>-3007833</v>
      </c>
    </row>
    <row r="1186" spans="3:8" ht="16.5">
      <c r="C1186" s="20"/>
      <c r="D1186" s="8" t="s">
        <v>639</v>
      </c>
      <c r="G1186" s="26">
        <f>SUM(G1184:G1185)</f>
        <v>1891421.8999999994</v>
      </c>
      <c r="H1186" s="26">
        <f>SUM(H1184:H1185)</f>
        <v>2278528.8</v>
      </c>
    </row>
    <row r="1187" spans="3:8" ht="15">
      <c r="C1187" s="20"/>
      <c r="G1187" s="6"/>
      <c r="H1187" s="6"/>
    </row>
    <row r="1188" spans="3:8" ht="15">
      <c r="C1188" s="118" t="s">
        <v>1601</v>
      </c>
      <c r="D1188" s="8" t="s">
        <v>1602</v>
      </c>
      <c r="G1188" s="6"/>
      <c r="H1188" s="6"/>
    </row>
    <row r="1189" spans="3:8" ht="15">
      <c r="C1189" s="20"/>
      <c r="G1189" s="6"/>
      <c r="H1189" s="6"/>
    </row>
    <row r="1190" spans="3:8" ht="15">
      <c r="C1190" s="20"/>
      <c r="D1190" s="9" t="s">
        <v>1545</v>
      </c>
      <c r="G1190" s="6">
        <v>-26552</v>
      </c>
      <c r="H1190" s="6">
        <v>-26552</v>
      </c>
    </row>
    <row r="1191" spans="3:8" ht="15">
      <c r="C1191" s="20"/>
      <c r="D1191" s="9" t="s">
        <v>1603</v>
      </c>
      <c r="G1191" s="6">
        <f>G627*0.001-73437</f>
        <v>4816915.433</v>
      </c>
      <c r="H1191" s="6">
        <v>0</v>
      </c>
    </row>
    <row r="1192" spans="3:8" ht="15">
      <c r="C1192" s="20"/>
      <c r="D1192" s="9" t="s">
        <v>1604</v>
      </c>
      <c r="G1192" s="6">
        <v>73436.678</v>
      </c>
      <c r="H1192" s="6">
        <v>0</v>
      </c>
    </row>
    <row r="1193" spans="3:8" ht="17.25">
      <c r="C1193" s="20"/>
      <c r="D1193" s="9" t="s">
        <v>1605</v>
      </c>
      <c r="G1193" s="85">
        <v>-4401884</v>
      </c>
      <c r="H1193" s="85">
        <v>0</v>
      </c>
    </row>
    <row r="1194" spans="3:8" ht="16.5">
      <c r="C1194" s="20"/>
      <c r="D1194" s="8" t="s">
        <v>1546</v>
      </c>
      <c r="G1194" s="26">
        <f>SUM(G1190:G1193)</f>
        <v>461916.1110000005</v>
      </c>
      <c r="H1194" s="26">
        <f>SUM(H1190:H1193)</f>
        <v>-26552</v>
      </c>
    </row>
    <row r="1195" spans="3:8" ht="15">
      <c r="C1195" s="20"/>
      <c r="G1195" s="6"/>
      <c r="H1195" s="6"/>
    </row>
    <row r="1196" spans="3:8" ht="15">
      <c r="C1196" s="118" t="s">
        <v>1415</v>
      </c>
      <c r="D1196" s="8" t="s">
        <v>494</v>
      </c>
      <c r="G1196" s="6"/>
      <c r="H1196" s="6"/>
    </row>
    <row r="1197" spans="3:8" ht="15">
      <c r="C1197" s="13"/>
      <c r="D1197" s="9" t="s">
        <v>495</v>
      </c>
      <c r="G1197" s="6">
        <f>G885+G887</f>
        <v>828523.8529099999</v>
      </c>
      <c r="H1197" s="6">
        <f>H885+H887</f>
        <v>1258498.908</v>
      </c>
    </row>
    <row r="1198" spans="3:8" ht="17.25">
      <c r="C1198" s="13"/>
      <c r="D1198" s="9" t="s">
        <v>432</v>
      </c>
      <c r="G1198" s="85">
        <f>G886</f>
        <v>341345.706</v>
      </c>
      <c r="H1198" s="85">
        <f>H886</f>
        <v>490535.121</v>
      </c>
    </row>
    <row r="1199" spans="3:8" ht="16.5">
      <c r="C1199" s="13"/>
      <c r="D1199" s="8" t="s">
        <v>1207</v>
      </c>
      <c r="E1199" s="8"/>
      <c r="F1199" s="8"/>
      <c r="G1199" s="26">
        <f>SUM(G1197:G1198)</f>
        <v>1169869.55891</v>
      </c>
      <c r="H1199" s="26">
        <f>SUM(H1197:H1198)</f>
        <v>1749034.029</v>
      </c>
    </row>
    <row r="1200" spans="7:8" ht="15">
      <c r="G1200" s="6"/>
      <c r="H1200" s="6"/>
    </row>
    <row r="1201" spans="3:8" ht="15">
      <c r="C1201" s="118" t="s">
        <v>1416</v>
      </c>
      <c r="D1201" s="8" t="s">
        <v>46</v>
      </c>
      <c r="G1201" s="6"/>
      <c r="H1201" s="6"/>
    </row>
    <row r="1202" spans="3:8" ht="15">
      <c r="C1202" s="20"/>
      <c r="D1202" s="9" t="s">
        <v>47</v>
      </c>
      <c r="G1202" s="6"/>
      <c r="H1202" s="6"/>
    </row>
    <row r="1203" spans="4:8" ht="15">
      <c r="D1203" s="9" t="s">
        <v>48</v>
      </c>
      <c r="G1203" s="6">
        <v>28659</v>
      </c>
      <c r="H1203" s="6">
        <v>18874</v>
      </c>
    </row>
    <row r="1204" spans="4:8" ht="15">
      <c r="D1204" s="9" t="s">
        <v>49</v>
      </c>
      <c r="G1204" s="6">
        <v>3060</v>
      </c>
      <c r="H1204" s="6">
        <v>2240</v>
      </c>
    </row>
    <row r="1205" spans="4:8" ht="15">
      <c r="D1205" s="9" t="s">
        <v>819</v>
      </c>
      <c r="G1205" s="6">
        <v>68620</v>
      </c>
      <c r="H1205" s="6">
        <v>42831</v>
      </c>
    </row>
    <row r="1209" ht="15">
      <c r="C1209" s="8" t="s">
        <v>1759</v>
      </c>
    </row>
    <row r="1210" ht="15">
      <c r="C1210" s="8"/>
    </row>
    <row r="1211" ht="15">
      <c r="C1211" s="8" t="s">
        <v>93</v>
      </c>
    </row>
    <row r="1212" ht="15">
      <c r="C1212" s="13" t="s">
        <v>94</v>
      </c>
    </row>
    <row r="1214" spans="3:4" ht="15">
      <c r="C1214" s="118" t="s">
        <v>1417</v>
      </c>
      <c r="D1214" s="119" t="s">
        <v>821</v>
      </c>
    </row>
    <row r="1215" spans="3:4" ht="15">
      <c r="C1215" s="90"/>
      <c r="D1215" s="120"/>
    </row>
    <row r="1216" spans="3:4" ht="15">
      <c r="C1216" s="121" t="s">
        <v>1191</v>
      </c>
      <c r="D1216" s="9" t="s">
        <v>1310</v>
      </c>
    </row>
    <row r="1217" spans="3:4" ht="15">
      <c r="C1217" s="121"/>
      <c r="D1217" s="9" t="s">
        <v>1311</v>
      </c>
    </row>
    <row r="1218" spans="3:4" ht="15">
      <c r="C1218" s="121"/>
      <c r="D1218" s="9" t="s">
        <v>1312</v>
      </c>
    </row>
    <row r="1219" spans="3:4" ht="15">
      <c r="C1219" s="121" t="s">
        <v>1192</v>
      </c>
      <c r="D1219" s="122" t="s">
        <v>1313</v>
      </c>
    </row>
    <row r="1220" spans="3:4" ht="15">
      <c r="C1220" s="121"/>
      <c r="D1220" s="9" t="s">
        <v>1311</v>
      </c>
    </row>
    <row r="1221" spans="3:4" ht="15">
      <c r="C1221" s="121"/>
      <c r="D1221" s="9" t="s">
        <v>1314</v>
      </c>
    </row>
    <row r="1222" spans="3:4" ht="15">
      <c r="C1222" s="121" t="s">
        <v>1193</v>
      </c>
      <c r="D1222" s="90" t="s">
        <v>1965</v>
      </c>
    </row>
    <row r="1223" spans="3:4" ht="15">
      <c r="C1223" s="121"/>
      <c r="D1223" s="90"/>
    </row>
    <row r="1224" spans="3:4" ht="15">
      <c r="C1224" s="121"/>
      <c r="D1224" s="90"/>
    </row>
    <row r="1225" spans="3:4" ht="15">
      <c r="C1225" s="118" t="s">
        <v>1418</v>
      </c>
      <c r="D1225" s="8" t="s">
        <v>1197</v>
      </c>
    </row>
    <row r="1226" ht="15">
      <c r="C1226" s="20"/>
    </row>
    <row r="1227" spans="3:4" ht="15">
      <c r="C1227" s="20"/>
      <c r="D1227" s="9" t="s">
        <v>610</v>
      </c>
    </row>
    <row r="1228" spans="3:4" ht="15">
      <c r="C1228" s="20"/>
      <c r="D1228" s="9" t="s">
        <v>413</v>
      </c>
    </row>
    <row r="1229" spans="3:8" ht="15">
      <c r="C1229" s="20"/>
      <c r="G1229" s="84" t="s">
        <v>1613</v>
      </c>
      <c r="H1229" s="84" t="s">
        <v>55</v>
      </c>
    </row>
    <row r="1230" spans="3:8" ht="15">
      <c r="C1230" s="20"/>
      <c r="G1230" s="84" t="s">
        <v>1113</v>
      </c>
      <c r="H1230" s="84" t="s">
        <v>1113</v>
      </c>
    </row>
    <row r="1231" spans="3:8" ht="15">
      <c r="C1231" s="20"/>
      <c r="D1231" s="9" t="s">
        <v>1896</v>
      </c>
      <c r="G1231" s="5">
        <f>G2211*0.001</f>
        <v>10239221.71</v>
      </c>
      <c r="H1231" s="5">
        <v>2044333</v>
      </c>
    </row>
    <row r="1232" spans="3:8" ht="17.25">
      <c r="C1232" s="20"/>
      <c r="D1232" s="9" t="s">
        <v>1897</v>
      </c>
      <c r="G1232" s="123">
        <v>0</v>
      </c>
      <c r="H1232" s="123">
        <v>-5337799</v>
      </c>
    </row>
    <row r="1233" spans="3:8" ht="16.5">
      <c r="C1233" s="20"/>
      <c r="D1233" s="8" t="s">
        <v>1207</v>
      </c>
      <c r="E1233" s="8"/>
      <c r="F1233" s="8"/>
      <c r="G1233" s="27">
        <f>SUM(G1231:G1232)</f>
        <v>10239221.71</v>
      </c>
      <c r="H1233" s="27">
        <f>SUM(H1231:H1232)</f>
        <v>-3293466</v>
      </c>
    </row>
    <row r="1234" ht="15">
      <c r="C1234" s="13"/>
    </row>
    <row r="1236" spans="3:4" ht="15">
      <c r="C1236" s="118" t="s">
        <v>1419</v>
      </c>
      <c r="D1236" s="8" t="s">
        <v>1102</v>
      </c>
    </row>
    <row r="1237" ht="15">
      <c r="C1237" s="20"/>
    </row>
    <row r="1238" spans="3:4" ht="15">
      <c r="C1238" s="20"/>
      <c r="D1238" s="9" t="s">
        <v>1420</v>
      </c>
    </row>
    <row r="1239" ht="15">
      <c r="C1239" s="20"/>
    </row>
    <row r="1240" spans="3:7" ht="15">
      <c r="C1240" s="20"/>
      <c r="D1240" s="9" t="s">
        <v>1421</v>
      </c>
      <c r="G1240" s="6">
        <v>52520</v>
      </c>
    </row>
    <row r="1241" spans="4:7" ht="17.25">
      <c r="D1241" s="9" t="s">
        <v>1422</v>
      </c>
      <c r="G1241" s="85">
        <v>48350</v>
      </c>
    </row>
    <row r="1242" spans="4:7" ht="16.5">
      <c r="D1242" s="8" t="s">
        <v>1207</v>
      </c>
      <c r="E1242" s="8"/>
      <c r="F1242" s="8"/>
      <c r="G1242" s="26">
        <f>SUM(G1240:G1241)</f>
        <v>100870</v>
      </c>
    </row>
    <row r="1245" spans="3:4" ht="15">
      <c r="C1245" s="118" t="s">
        <v>1423</v>
      </c>
      <c r="D1245" s="8" t="s">
        <v>1103</v>
      </c>
    </row>
    <row r="1246" ht="15">
      <c r="C1246" s="20"/>
    </row>
    <row r="1247" spans="3:4" ht="15">
      <c r="C1247" s="20"/>
      <c r="D1247" s="9" t="s">
        <v>1424</v>
      </c>
    </row>
    <row r="1248" spans="3:4" ht="15">
      <c r="C1248" s="20"/>
      <c r="D1248" s="9" t="s">
        <v>1425</v>
      </c>
    </row>
    <row r="1249" spans="3:4" ht="15">
      <c r="C1249" s="20"/>
      <c r="D1249" s="9" t="s">
        <v>499</v>
      </c>
    </row>
    <row r="1250" ht="15">
      <c r="C1250" s="20"/>
    </row>
    <row r="1252" spans="3:4" ht="15">
      <c r="C1252" s="118" t="s">
        <v>1426</v>
      </c>
      <c r="D1252" s="8" t="s">
        <v>1330</v>
      </c>
    </row>
    <row r="1253" spans="3:4" ht="15">
      <c r="C1253" s="118"/>
      <c r="D1253" s="8"/>
    </row>
    <row r="1254" spans="3:4" ht="15">
      <c r="C1254" s="20"/>
      <c r="D1254" s="9" t="s">
        <v>1610</v>
      </c>
    </row>
    <row r="1255" spans="3:4" ht="15">
      <c r="C1255" s="20"/>
      <c r="D1255" s="9" t="s">
        <v>1329</v>
      </c>
    </row>
    <row r="1256" spans="3:4" ht="15">
      <c r="C1256" s="20"/>
      <c r="D1256" s="9" t="s">
        <v>1812</v>
      </c>
    </row>
    <row r="1257" spans="3:4" ht="15">
      <c r="C1257" s="20"/>
      <c r="D1257" s="9" t="s">
        <v>1813</v>
      </c>
    </row>
    <row r="1258" spans="3:4" ht="15">
      <c r="C1258" s="20"/>
      <c r="D1258" s="9" t="s">
        <v>1814</v>
      </c>
    </row>
    <row r="1259" spans="2:4" ht="15">
      <c r="B1259" s="34"/>
      <c r="C1259" s="121"/>
      <c r="D1259" s="90"/>
    </row>
    <row r="1260" spans="2:3" ht="15">
      <c r="B1260" s="31"/>
      <c r="C1260" s="13"/>
    </row>
    <row r="1261" spans="2:3" ht="15">
      <c r="B1261" s="31"/>
      <c r="C1261" s="8" t="s">
        <v>1759</v>
      </c>
    </row>
    <row r="1262" spans="2:3" ht="15">
      <c r="B1262" s="31"/>
      <c r="C1262" s="8"/>
    </row>
    <row r="1263" spans="2:3" ht="15">
      <c r="B1263" s="31"/>
      <c r="C1263" s="8" t="s">
        <v>93</v>
      </c>
    </row>
    <row r="1264" ht="15">
      <c r="C1264" s="13" t="s">
        <v>94</v>
      </c>
    </row>
    <row r="1265" spans="2:3" ht="15">
      <c r="B1265" s="34"/>
      <c r="C1265" s="13"/>
    </row>
    <row r="1266" ht="15">
      <c r="B1266" s="31"/>
    </row>
    <row r="1267" spans="2:4" ht="15">
      <c r="B1267" s="31"/>
      <c r="C1267" s="118" t="s">
        <v>1815</v>
      </c>
      <c r="D1267" s="8" t="s">
        <v>1101</v>
      </c>
    </row>
    <row r="1268" spans="2:3" ht="15">
      <c r="B1268" s="31"/>
      <c r="C1268" s="20"/>
    </row>
    <row r="1269" spans="2:4" ht="15">
      <c r="B1269" s="31"/>
      <c r="C1269" s="20"/>
      <c r="D1269" s="9" t="s">
        <v>1816</v>
      </c>
    </row>
    <row r="1270" spans="2:4" ht="15">
      <c r="B1270" s="31"/>
      <c r="C1270" s="20"/>
      <c r="D1270" s="9" t="s">
        <v>1817</v>
      </c>
    </row>
    <row r="1271" spans="2:4" ht="15">
      <c r="B1271" s="31"/>
      <c r="C1271" s="20"/>
      <c r="D1271" s="9" t="s">
        <v>389</v>
      </c>
    </row>
    <row r="1272" spans="2:4" ht="15">
      <c r="B1272" s="34"/>
      <c r="C1272" s="20"/>
      <c r="D1272" s="9" t="s">
        <v>836</v>
      </c>
    </row>
    <row r="1273" spans="2:3" ht="15">
      <c r="B1273" s="31"/>
      <c r="C1273" s="20"/>
    </row>
    <row r="1274" spans="2:8" ht="15">
      <c r="B1274" s="31"/>
      <c r="C1274" s="84" t="s">
        <v>1191</v>
      </c>
      <c r="D1274" s="8" t="s">
        <v>887</v>
      </c>
      <c r="G1274" s="84" t="s">
        <v>1613</v>
      </c>
      <c r="H1274" s="84" t="s">
        <v>55</v>
      </c>
    </row>
    <row r="1275" spans="2:8" ht="15">
      <c r="B1275" s="31"/>
      <c r="C1275" s="10"/>
      <c r="G1275" s="84" t="s">
        <v>1113</v>
      </c>
      <c r="H1275" s="84" t="s">
        <v>1113</v>
      </c>
    </row>
    <row r="1276" spans="2:8" ht="15">
      <c r="B1276" s="31"/>
      <c r="C1276" s="10"/>
      <c r="G1276" s="10"/>
      <c r="H1276" s="10"/>
    </row>
    <row r="1277" spans="2:8" ht="15">
      <c r="B1277" s="31"/>
      <c r="C1277" s="10"/>
      <c r="D1277" s="9" t="s">
        <v>392</v>
      </c>
      <c r="E1277" s="9" t="s">
        <v>390</v>
      </c>
      <c r="G1277" s="5">
        <v>7030568</v>
      </c>
      <c r="H1277" s="5">
        <v>7710626</v>
      </c>
    </row>
    <row r="1278" spans="2:8" ht="15">
      <c r="B1278" s="34"/>
      <c r="C1278" s="10"/>
      <c r="E1278" s="9" t="s">
        <v>837</v>
      </c>
      <c r="G1278" s="5">
        <v>8210459</v>
      </c>
      <c r="H1278" s="5">
        <v>10791586</v>
      </c>
    </row>
    <row r="1279" spans="2:8" ht="17.25">
      <c r="B1279" s="31"/>
      <c r="C1279" s="10"/>
      <c r="D1279" s="9" t="s">
        <v>391</v>
      </c>
      <c r="E1279" s="9" t="s">
        <v>1328</v>
      </c>
      <c r="G1279" s="123">
        <v>2716548</v>
      </c>
      <c r="H1279" s="123">
        <v>1568001</v>
      </c>
    </row>
    <row r="1280" spans="3:8" ht="16.5">
      <c r="C1280" s="10"/>
      <c r="E1280" s="8" t="s">
        <v>498</v>
      </c>
      <c r="F1280" s="8"/>
      <c r="G1280" s="27">
        <f>SUM(G1277:G1279)</f>
        <v>17957575</v>
      </c>
      <c r="H1280" s="27">
        <f>SUM(H1277:H1279)</f>
        <v>20070213</v>
      </c>
    </row>
    <row r="1281" spans="3:10" ht="15">
      <c r="C1281" s="10"/>
      <c r="G1281" s="5"/>
      <c r="H1281" s="5"/>
      <c r="J1281" s="9" t="s">
        <v>1113</v>
      </c>
    </row>
    <row r="1282" spans="3:8" ht="15">
      <c r="C1282" s="10"/>
      <c r="G1282" s="5"/>
      <c r="H1282" s="5"/>
    </row>
    <row r="1283" spans="3:10" ht="15">
      <c r="C1283" s="84" t="s">
        <v>1192</v>
      </c>
      <c r="D1283" s="8" t="s">
        <v>888</v>
      </c>
      <c r="G1283" s="5"/>
      <c r="H1283" s="5"/>
      <c r="J1283" s="9">
        <v>7710626.337</v>
      </c>
    </row>
    <row r="1284" spans="2:10" ht="15">
      <c r="B1284" s="34"/>
      <c r="C1284" s="20"/>
      <c r="D1284" s="75" t="s">
        <v>838</v>
      </c>
      <c r="G1284" s="5"/>
      <c r="H1284" s="5"/>
      <c r="J1284" s="9">
        <v>10791586.113</v>
      </c>
    </row>
    <row r="1285" spans="3:10" ht="15">
      <c r="C1285" s="20"/>
      <c r="D1285" s="9" t="s">
        <v>723</v>
      </c>
      <c r="G1285" s="5">
        <v>1756392</v>
      </c>
      <c r="H1285" s="5">
        <v>4653206</v>
      </c>
      <c r="J1285" s="9">
        <v>1568001</v>
      </c>
    </row>
    <row r="1286" spans="3:8" ht="15">
      <c r="C1286" s="20"/>
      <c r="D1286" s="9" t="s">
        <v>508</v>
      </c>
      <c r="G1286" s="5">
        <v>5688</v>
      </c>
      <c r="H1286" s="5">
        <v>0</v>
      </c>
    </row>
    <row r="1287" spans="3:8" ht="15">
      <c r="C1287" s="20"/>
      <c r="D1287" s="9" t="s">
        <v>1232</v>
      </c>
      <c r="G1287" s="5">
        <v>4161</v>
      </c>
      <c r="H1287" s="5">
        <v>0</v>
      </c>
    </row>
    <row r="1288" spans="3:8" ht="15">
      <c r="C1288" s="20"/>
      <c r="D1288" s="9" t="s">
        <v>1336</v>
      </c>
      <c r="G1288" s="5">
        <v>7584</v>
      </c>
      <c r="H1288" s="5">
        <v>0</v>
      </c>
    </row>
    <row r="1289" spans="3:8" ht="15">
      <c r="C1289" s="20"/>
      <c r="G1289" s="5"/>
      <c r="H1289" s="5"/>
    </row>
    <row r="1290" spans="3:10" ht="15">
      <c r="C1290" s="20"/>
      <c r="D1290" s="75" t="s">
        <v>720</v>
      </c>
      <c r="H1290" s="5"/>
      <c r="J1290" s="9">
        <f>SUM(J1283:J1285)</f>
        <v>20070213.45</v>
      </c>
    </row>
    <row r="1291" spans="3:8" ht="15">
      <c r="C1291" s="20"/>
      <c r="D1291" s="9" t="s">
        <v>721</v>
      </c>
      <c r="G1291" s="5">
        <v>2740</v>
      </c>
      <c r="H1291" s="5">
        <v>2740</v>
      </c>
    </row>
    <row r="1292" spans="3:8" ht="15">
      <c r="C1292" s="20"/>
      <c r="G1292" s="5"/>
      <c r="H1292" s="5"/>
    </row>
    <row r="1293" spans="3:8" ht="15">
      <c r="C1293" s="20"/>
      <c r="D1293" s="75" t="s">
        <v>722</v>
      </c>
      <c r="H1293" s="5"/>
    </row>
    <row r="1294" spans="3:8" ht="15">
      <c r="C1294" s="20"/>
      <c r="D1294" s="9" t="s">
        <v>723</v>
      </c>
      <c r="G1294" s="5">
        <v>20505</v>
      </c>
      <c r="H1294" s="5">
        <v>247863</v>
      </c>
    </row>
    <row r="1295" ht="15">
      <c r="C1295" s="20"/>
    </row>
    <row r="1296" spans="3:10" ht="15">
      <c r="C1296" s="118" t="s">
        <v>724</v>
      </c>
      <c r="D1296" s="8" t="s">
        <v>414</v>
      </c>
      <c r="J1296" s="9">
        <v>4647819</v>
      </c>
    </row>
    <row r="1297" spans="3:13" ht="15">
      <c r="C1297" s="20"/>
      <c r="J1297" s="9">
        <v>2740</v>
      </c>
      <c r="M1297" s="9" t="s">
        <v>1113</v>
      </c>
    </row>
    <row r="1298" spans="2:4" ht="15">
      <c r="B1298" s="34"/>
      <c r="C1298" s="20"/>
      <c r="D1298" s="9" t="s">
        <v>725</v>
      </c>
    </row>
    <row r="1299" spans="3:13" ht="15">
      <c r="C1299" s="20"/>
      <c r="D1299" s="9" t="s">
        <v>889</v>
      </c>
      <c r="J1299" s="9">
        <v>247863.398</v>
      </c>
      <c r="M1299" s="9">
        <v>7274777</v>
      </c>
    </row>
    <row r="1300" spans="3:13" ht="15">
      <c r="C1300" s="20"/>
      <c r="M1300" s="9">
        <v>6968255</v>
      </c>
    </row>
    <row r="1301" spans="2:13" ht="15">
      <c r="B1301" s="31"/>
      <c r="C1301" s="20"/>
      <c r="M1301" s="9">
        <v>1657810</v>
      </c>
    </row>
    <row r="1302" spans="2:13" ht="15">
      <c r="B1302" s="31"/>
      <c r="C1302" s="118" t="s">
        <v>230</v>
      </c>
      <c r="D1302" s="8" t="s">
        <v>967</v>
      </c>
      <c r="M1302" s="9">
        <f>SUM(M1299:M1301)</f>
        <v>15900842</v>
      </c>
    </row>
    <row r="1303" ht="15">
      <c r="C1303" s="20"/>
    </row>
    <row r="1304" spans="3:4" ht="15">
      <c r="C1304" s="20"/>
      <c r="D1304" s="9" t="s">
        <v>235</v>
      </c>
    </row>
    <row r="1305" spans="3:4" ht="15">
      <c r="C1305" s="20"/>
      <c r="D1305" s="9" t="s">
        <v>236</v>
      </c>
    </row>
    <row r="1307" ht="15">
      <c r="M1307" s="9">
        <v>3378449</v>
      </c>
    </row>
    <row r="1308" spans="3:13" ht="15">
      <c r="C1308" s="118" t="s">
        <v>237</v>
      </c>
      <c r="D1308" s="8" t="s">
        <v>393</v>
      </c>
      <c r="M1308" s="9">
        <v>2740</v>
      </c>
    </row>
    <row r="1310" spans="2:13" ht="15">
      <c r="B1310" s="31"/>
      <c r="D1310" s="9" t="s">
        <v>238</v>
      </c>
      <c r="M1310" s="9">
        <v>0</v>
      </c>
    </row>
    <row r="1311" spans="2:4" ht="15">
      <c r="B1311" s="31"/>
      <c r="D1311" s="9" t="s">
        <v>890</v>
      </c>
    </row>
    <row r="1312" spans="2:4" ht="15">
      <c r="B1312" s="34"/>
      <c r="D1312" s="9" t="s">
        <v>239</v>
      </c>
    </row>
    <row r="1313" ht="15">
      <c r="D1313" s="9" t="s">
        <v>500</v>
      </c>
    </row>
    <row r="1314" ht="15">
      <c r="D1314" s="124" t="s">
        <v>1541</v>
      </c>
    </row>
    <row r="1315" ht="15">
      <c r="D1315" s="124" t="s">
        <v>1198</v>
      </c>
    </row>
    <row r="1316" ht="15">
      <c r="D1316" s="124" t="s">
        <v>501</v>
      </c>
    </row>
    <row r="1317" ht="15">
      <c r="D1317" s="124" t="s">
        <v>503</v>
      </c>
    </row>
    <row r="1318" ht="15">
      <c r="D1318" s="124"/>
    </row>
    <row r="1319" ht="15">
      <c r="D1319" s="124" t="s">
        <v>502</v>
      </c>
    </row>
    <row r="1320" spans="4:8" ht="15">
      <c r="D1320" s="124"/>
      <c r="G1320" s="84" t="s">
        <v>1613</v>
      </c>
      <c r="H1320" s="84" t="s">
        <v>55</v>
      </c>
    </row>
    <row r="1321" spans="7:8" ht="15">
      <c r="G1321" s="84" t="s">
        <v>1113</v>
      </c>
      <c r="H1321" s="84" t="s">
        <v>1113</v>
      </c>
    </row>
    <row r="1322" spans="4:8" ht="15">
      <c r="D1322" s="125" t="s">
        <v>394</v>
      </c>
      <c r="G1322" s="5">
        <v>114806</v>
      </c>
      <c r="H1322" s="5">
        <v>125194.08</v>
      </c>
    </row>
    <row r="1323" spans="4:8" ht="15">
      <c r="D1323" s="11" t="s">
        <v>395</v>
      </c>
      <c r="G1323" s="5">
        <v>140329</v>
      </c>
      <c r="H1323" s="5">
        <v>171391.479</v>
      </c>
    </row>
    <row r="1324" spans="4:8" ht="17.25">
      <c r="D1324" s="11" t="s">
        <v>942</v>
      </c>
      <c r="G1324" s="123">
        <v>42463</v>
      </c>
      <c r="H1324" s="123">
        <v>60038.055</v>
      </c>
    </row>
    <row r="1325" spans="4:8" ht="16.5">
      <c r="D1325" s="18" t="s">
        <v>943</v>
      </c>
      <c r="E1325" s="8"/>
      <c r="F1325" s="8"/>
      <c r="G1325" s="27">
        <f>SUM(G1322:G1324)</f>
        <v>297598</v>
      </c>
      <c r="H1325" s="27">
        <f>SUM(H1322:H1324)</f>
        <v>356623.614</v>
      </c>
    </row>
    <row r="1326" ht="15">
      <c r="D1326" s="18"/>
    </row>
    <row r="1328" ht="15">
      <c r="C1328" s="8" t="s">
        <v>1759</v>
      </c>
    </row>
    <row r="1329" spans="2:3" ht="15">
      <c r="B1329" s="34"/>
      <c r="C1329" s="8"/>
    </row>
    <row r="1330" ht="15">
      <c r="C1330" s="8" t="s">
        <v>961</v>
      </c>
    </row>
    <row r="1331" ht="15">
      <c r="C1331" s="13" t="s">
        <v>94</v>
      </c>
    </row>
    <row r="1333" spans="3:4" ht="15">
      <c r="C1333" s="118"/>
      <c r="D1333" s="8"/>
    </row>
    <row r="1334" spans="3:4" ht="15">
      <c r="C1334" s="118" t="s">
        <v>240</v>
      </c>
      <c r="D1334" s="8" t="s">
        <v>1201</v>
      </c>
    </row>
    <row r="1335" ht="15">
      <c r="C1335" s="20"/>
    </row>
    <row r="1336" spans="3:4" ht="15">
      <c r="C1336" s="10" t="s">
        <v>1191</v>
      </c>
      <c r="D1336" s="8" t="s">
        <v>640</v>
      </c>
    </row>
    <row r="1337" spans="3:4" ht="15">
      <c r="C1337" s="10"/>
      <c r="D1337" s="9" t="s">
        <v>1028</v>
      </c>
    </row>
    <row r="1338" spans="3:4" ht="15">
      <c r="C1338" s="10"/>
      <c r="D1338" s="9" t="s">
        <v>1029</v>
      </c>
    </row>
    <row r="1339" spans="3:4" ht="15">
      <c r="C1339" s="10"/>
      <c r="D1339" s="9" t="s">
        <v>1030</v>
      </c>
    </row>
    <row r="1340" ht="15">
      <c r="C1340" s="10"/>
    </row>
    <row r="1341" spans="3:4" ht="15">
      <c r="C1341" s="10" t="s">
        <v>1192</v>
      </c>
      <c r="D1341" s="8" t="s">
        <v>641</v>
      </c>
    </row>
    <row r="1342" spans="3:4" ht="15">
      <c r="C1342" s="10"/>
      <c r="D1342" s="9" t="s">
        <v>1031</v>
      </c>
    </row>
    <row r="1343" spans="3:4" ht="15">
      <c r="C1343" s="10"/>
      <c r="D1343" s="9" t="s">
        <v>463</v>
      </c>
    </row>
    <row r="1344" spans="3:4" ht="15">
      <c r="C1344" s="10"/>
      <c r="D1344" s="9" t="s">
        <v>164</v>
      </c>
    </row>
    <row r="1345" spans="3:13" ht="15">
      <c r="C1345" s="10"/>
      <c r="D1345" s="8"/>
      <c r="M1345" s="9" t="s">
        <v>820</v>
      </c>
    </row>
    <row r="1346" spans="2:4" ht="15">
      <c r="B1346" s="34"/>
      <c r="C1346" s="10" t="s">
        <v>1193</v>
      </c>
      <c r="D1346" s="8" t="s">
        <v>642</v>
      </c>
    </row>
    <row r="1347" spans="2:4" ht="15">
      <c r="B1347" s="34"/>
      <c r="C1347" s="10"/>
      <c r="D1347" s="9" t="s">
        <v>1086</v>
      </c>
    </row>
    <row r="1348" spans="2:4" ht="15">
      <c r="B1348" s="31"/>
      <c r="C1348" s="10"/>
      <c r="D1348" s="9" t="s">
        <v>165</v>
      </c>
    </row>
    <row r="1349" spans="2:3" ht="15">
      <c r="B1349" s="31"/>
      <c r="C1349" s="10"/>
    </row>
    <row r="1350" spans="2:4" ht="15">
      <c r="B1350" s="31"/>
      <c r="C1350" s="10" t="s">
        <v>1194</v>
      </c>
      <c r="D1350" s="8" t="s">
        <v>643</v>
      </c>
    </row>
    <row r="1351" spans="2:4" ht="15">
      <c r="B1351" s="31"/>
      <c r="C1351" s="10"/>
      <c r="D1351" s="9" t="s">
        <v>1383</v>
      </c>
    </row>
    <row r="1352" spans="2:4" ht="15">
      <c r="B1352" s="31"/>
      <c r="C1352" s="10"/>
      <c r="D1352" s="9" t="s">
        <v>1195</v>
      </c>
    </row>
    <row r="1353" spans="2:3" ht="15">
      <c r="B1353" s="31"/>
      <c r="C1353" s="10"/>
    </row>
    <row r="1354" spans="2:4" ht="15">
      <c r="B1354" s="31"/>
      <c r="C1354" s="10" t="s">
        <v>1196</v>
      </c>
      <c r="D1354" s="8" t="s">
        <v>644</v>
      </c>
    </row>
    <row r="1355" spans="2:4" ht="15">
      <c r="B1355" s="31"/>
      <c r="C1355" s="10"/>
      <c r="D1355" s="9" t="s">
        <v>1627</v>
      </c>
    </row>
    <row r="1356" spans="2:4" ht="15">
      <c r="B1356" s="31"/>
      <c r="C1356" s="10"/>
      <c r="D1356" s="9" t="s">
        <v>1384</v>
      </c>
    </row>
    <row r="1357" spans="2:4" ht="15">
      <c r="B1357" s="31"/>
      <c r="C1357" s="10"/>
      <c r="D1357" s="9" t="s">
        <v>168</v>
      </c>
    </row>
    <row r="1358" spans="2:4" ht="15">
      <c r="B1358" s="31"/>
      <c r="C1358" s="10"/>
      <c r="D1358" s="9" t="s">
        <v>600</v>
      </c>
    </row>
    <row r="1359" spans="2:4" ht="15">
      <c r="B1359" s="31"/>
      <c r="C1359" s="10"/>
      <c r="D1359" s="9" t="s">
        <v>166</v>
      </c>
    </row>
    <row r="1362" spans="2:13" ht="15">
      <c r="B1362" s="31"/>
      <c r="C1362" s="118" t="s">
        <v>1385</v>
      </c>
      <c r="D1362" s="8" t="s">
        <v>50</v>
      </c>
      <c r="M1362" s="9" t="s">
        <v>1112</v>
      </c>
    </row>
    <row r="1363" spans="2:13" ht="15">
      <c r="B1363" s="31"/>
      <c r="M1363" s="9" t="s">
        <v>1113</v>
      </c>
    </row>
    <row r="1364" spans="2:13" ht="15">
      <c r="B1364" s="31"/>
      <c r="D1364" s="9" t="s">
        <v>1386</v>
      </c>
      <c r="M1364" s="9">
        <v>124369</v>
      </c>
    </row>
    <row r="1365" spans="2:13" ht="15">
      <c r="B1365" s="31"/>
      <c r="M1365" s="9">
        <v>119353.5</v>
      </c>
    </row>
    <row r="1366" spans="2:13" ht="15">
      <c r="B1366" s="31"/>
      <c r="C1366" s="118" t="s">
        <v>2046</v>
      </c>
      <c r="D1366" s="8" t="s">
        <v>1199</v>
      </c>
      <c r="M1366" s="9">
        <v>18973.5</v>
      </c>
    </row>
    <row r="1367" spans="2:13" ht="15">
      <c r="B1367" s="31"/>
      <c r="M1367" s="9">
        <f>SUM(M1364:M1366)</f>
        <v>262696</v>
      </c>
    </row>
    <row r="1368" spans="2:4" ht="15">
      <c r="B1368" s="31"/>
      <c r="D1368" s="9" t="s">
        <v>2047</v>
      </c>
    </row>
    <row r="1369" ht="15">
      <c r="B1369" s="31"/>
    </row>
    <row r="1370" spans="3:4" ht="15">
      <c r="C1370" s="118" t="s">
        <v>935</v>
      </c>
      <c r="D1370" s="8" t="s">
        <v>1200</v>
      </c>
    </row>
    <row r="1371" ht="15">
      <c r="C1371" s="20"/>
    </row>
    <row r="1372" spans="3:4" ht="15">
      <c r="C1372" s="20"/>
      <c r="D1372" s="9" t="s">
        <v>936</v>
      </c>
    </row>
    <row r="1373" ht="15">
      <c r="C1373" s="20"/>
    </row>
    <row r="1374" spans="3:4" ht="15">
      <c r="C1374" s="118" t="s">
        <v>937</v>
      </c>
      <c r="D1374" s="8" t="s">
        <v>1104</v>
      </c>
    </row>
    <row r="1375" ht="15">
      <c r="C1375" s="20"/>
    </row>
    <row r="1376" spans="3:4" ht="15">
      <c r="C1376" s="20"/>
      <c r="D1376" s="9" t="s">
        <v>504</v>
      </c>
    </row>
    <row r="1377" spans="3:4" ht="15">
      <c r="C1377" s="20"/>
      <c r="D1377" s="9" t="s">
        <v>1563</v>
      </c>
    </row>
    <row r="1378" spans="2:3" ht="15">
      <c r="B1378" s="31"/>
      <c r="C1378" s="20"/>
    </row>
    <row r="1379" ht="15">
      <c r="C1379" s="20"/>
    </row>
    <row r="1380" ht="15">
      <c r="B1380" s="34"/>
    </row>
    <row r="1381" ht="15">
      <c r="B1381" s="34"/>
    </row>
    <row r="1382" ht="15">
      <c r="B1382" s="34"/>
    </row>
    <row r="1389" spans="1:13" ht="15">
      <c r="A1389" s="31"/>
      <c r="C1389" s="20"/>
      <c r="E1389" s="11"/>
      <c r="F1389" s="11"/>
      <c r="G1389" s="11"/>
      <c r="H1389" s="11"/>
      <c r="I1389" s="11"/>
      <c r="J1389" s="11"/>
      <c r="K1389" s="11"/>
      <c r="L1389" s="14"/>
      <c r="M1389" s="15"/>
    </row>
    <row r="1390" spans="1:13" ht="15">
      <c r="A1390" s="126" t="s">
        <v>1111</v>
      </c>
      <c r="C1390" s="20"/>
      <c r="E1390" s="11"/>
      <c r="F1390" s="11"/>
      <c r="G1390" s="11"/>
      <c r="H1390" s="11"/>
      <c r="I1390" s="16"/>
      <c r="J1390" s="16"/>
      <c r="K1390" s="16"/>
      <c r="L1390" s="17"/>
      <c r="M1390" s="15"/>
    </row>
    <row r="1391" spans="1:13" ht="15">
      <c r="A1391" s="31"/>
      <c r="C1391" s="20"/>
      <c r="E1391" s="11"/>
      <c r="F1391" s="11"/>
      <c r="G1391" s="11"/>
      <c r="H1391" s="11"/>
      <c r="I1391" s="16"/>
      <c r="J1391" s="16"/>
      <c r="K1391" s="16"/>
      <c r="L1391" s="17"/>
      <c r="M1391" s="15"/>
    </row>
    <row r="1392" spans="1:13" ht="15">
      <c r="A1392" s="126" t="s">
        <v>938</v>
      </c>
      <c r="C1392" s="20"/>
      <c r="E1392" s="11"/>
      <c r="F1392" s="11"/>
      <c r="G1392" s="11"/>
      <c r="H1392" s="11"/>
      <c r="I1392" s="16"/>
      <c r="J1392" s="16"/>
      <c r="K1392" s="16"/>
      <c r="L1392" s="17"/>
      <c r="M1392" s="15"/>
    </row>
    <row r="1393" spans="3:13" ht="15">
      <c r="C1393" s="20"/>
      <c r="E1393" s="11"/>
      <c r="F1393" s="11"/>
      <c r="G1393" s="18">
        <v>2005</v>
      </c>
      <c r="H1393" s="18">
        <v>2004</v>
      </c>
      <c r="I1393" s="16"/>
      <c r="J1393" s="16"/>
      <c r="K1393" s="16"/>
      <c r="L1393" s="17"/>
      <c r="M1393" s="15"/>
    </row>
    <row r="1394" spans="3:13" ht="15">
      <c r="C1394" s="20"/>
      <c r="E1394" s="11"/>
      <c r="F1394" s="11"/>
      <c r="G1394" s="19" t="s">
        <v>939</v>
      </c>
      <c r="H1394" s="19" t="s">
        <v>939</v>
      </c>
      <c r="I1394" s="16"/>
      <c r="J1394" s="16"/>
      <c r="K1394" s="16"/>
      <c r="L1394" s="17"/>
      <c r="M1394" s="15"/>
    </row>
    <row r="1395" spans="2:13" ht="15">
      <c r="B1395" s="31"/>
      <c r="C1395" s="20"/>
      <c r="E1395" s="11"/>
      <c r="F1395" s="11"/>
      <c r="G1395" s="19"/>
      <c r="H1395" s="19"/>
      <c r="I1395" s="16"/>
      <c r="J1395" s="16"/>
      <c r="K1395" s="16"/>
      <c r="L1395" s="17"/>
      <c r="M1395" s="15"/>
    </row>
    <row r="1396" spans="2:13" ht="15">
      <c r="B1396" s="34"/>
      <c r="C1396" s="77">
        <v>300000</v>
      </c>
      <c r="D1396" s="8" t="s">
        <v>430</v>
      </c>
      <c r="E1396" s="11"/>
      <c r="F1396" s="11"/>
      <c r="G1396" s="11"/>
      <c r="H1396" s="11"/>
      <c r="I1396" s="16"/>
      <c r="J1396" s="16"/>
      <c r="K1396" s="16"/>
      <c r="L1396" s="17"/>
      <c r="M1396" s="15"/>
    </row>
    <row r="1397" spans="1:13" ht="15">
      <c r="A1397" s="127" t="s">
        <v>1995</v>
      </c>
      <c r="B1397" s="31"/>
      <c r="C1397" s="34"/>
      <c r="D1397" s="31" t="s">
        <v>1996</v>
      </c>
      <c r="E1397" s="11"/>
      <c r="F1397" s="11"/>
      <c r="G1397" s="128">
        <f>H149</f>
        <v>63293839803</v>
      </c>
      <c r="H1397" s="128">
        <v>52072115890</v>
      </c>
      <c r="I1397" s="16"/>
      <c r="J1397" s="16"/>
      <c r="K1397" s="16"/>
      <c r="L1397" s="17"/>
      <c r="M1397" s="15"/>
    </row>
    <row r="1398" spans="1:13" ht="15">
      <c r="A1398" s="127" t="s">
        <v>1997</v>
      </c>
      <c r="B1398" s="31"/>
      <c r="C1398" s="34"/>
      <c r="D1398" s="31" t="s">
        <v>1998</v>
      </c>
      <c r="E1398" s="11"/>
      <c r="F1398" s="11"/>
      <c r="G1398" s="128">
        <f>H150</f>
        <v>6846339668</v>
      </c>
      <c r="H1398" s="128">
        <v>5293661683</v>
      </c>
      <c r="I1398" s="16"/>
      <c r="J1398" s="16"/>
      <c r="K1398" s="16"/>
      <c r="L1398" s="17"/>
      <c r="M1398" s="15"/>
    </row>
    <row r="1399" spans="1:13" ht="17.25">
      <c r="A1399" s="127" t="s">
        <v>2011</v>
      </c>
      <c r="B1399" s="31"/>
      <c r="C1399" s="34"/>
      <c r="D1399" s="31" t="s">
        <v>2012</v>
      </c>
      <c r="E1399" s="11"/>
      <c r="F1399" s="11"/>
      <c r="G1399" s="129">
        <f>H157</f>
        <v>722019576</v>
      </c>
      <c r="H1399" s="129">
        <v>274090148</v>
      </c>
      <c r="I1399" s="16"/>
      <c r="J1399" s="16"/>
      <c r="K1399" s="16"/>
      <c r="L1399" s="17"/>
      <c r="M1399" s="15"/>
    </row>
    <row r="1400" spans="2:13" ht="15">
      <c r="B1400" s="31"/>
      <c r="C1400" s="73"/>
      <c r="E1400" s="11"/>
      <c r="F1400" s="11"/>
      <c r="G1400" s="128">
        <f>SUM(G1397:G1399)</f>
        <v>70862199047</v>
      </c>
      <c r="H1400" s="128">
        <f>SUM(H1397:H1399)</f>
        <v>57639867721</v>
      </c>
      <c r="I1400" s="16"/>
      <c r="J1400" s="16"/>
      <c r="K1400" s="16"/>
      <c r="L1400" s="17"/>
      <c r="M1400" s="15"/>
    </row>
    <row r="1401" spans="2:13" ht="17.25">
      <c r="B1401" s="31"/>
      <c r="C1401" s="73"/>
      <c r="D1401" s="9" t="s">
        <v>940</v>
      </c>
      <c r="E1401" s="11"/>
      <c r="F1401" s="11"/>
      <c r="G1401" s="129">
        <f>-G1422</f>
        <v>-1823573269.4299998</v>
      </c>
      <c r="H1401" s="129">
        <v>-2482677295</v>
      </c>
      <c r="I1401" s="11"/>
      <c r="J1401" s="11"/>
      <c r="K1401" s="11"/>
      <c r="L1401" s="14"/>
      <c r="M1401" s="15"/>
    </row>
    <row r="1402" spans="2:13" ht="17.25">
      <c r="B1402" s="31"/>
      <c r="C1402" s="73"/>
      <c r="D1402" s="81" t="s">
        <v>943</v>
      </c>
      <c r="E1402" s="130"/>
      <c r="F1402" s="130"/>
      <c r="G1402" s="131">
        <f>SUM(G1400:G1401)</f>
        <v>69038625777.57</v>
      </c>
      <c r="H1402" s="131">
        <f>SUM(H1400:H1401)</f>
        <v>55157190426</v>
      </c>
      <c r="I1402" s="11"/>
      <c r="J1402" s="11"/>
      <c r="K1402" s="11"/>
      <c r="L1402" s="11"/>
      <c r="M1402" s="11"/>
    </row>
    <row r="1403" spans="2:13" ht="15">
      <c r="B1403" s="31"/>
      <c r="C1403" s="73"/>
      <c r="E1403" s="11"/>
      <c r="F1403" s="11"/>
      <c r="G1403" s="128"/>
      <c r="H1403" s="128"/>
      <c r="I1403" s="11"/>
      <c r="J1403" s="11"/>
      <c r="K1403" s="11"/>
      <c r="L1403" s="11"/>
      <c r="M1403" s="11"/>
    </row>
    <row r="1404" spans="2:13" ht="15">
      <c r="B1404" s="132"/>
      <c r="C1404" s="74"/>
      <c r="D1404" s="75"/>
      <c r="E1404" s="133"/>
      <c r="F1404" s="11"/>
      <c r="G1404" s="134"/>
      <c r="H1404" s="134"/>
      <c r="I1404" s="11"/>
      <c r="J1404" s="11"/>
      <c r="K1404" s="11"/>
      <c r="L1404" s="11"/>
      <c r="M1404" s="11"/>
    </row>
    <row r="1405" spans="2:13" ht="15">
      <c r="B1405" s="132"/>
      <c r="C1405" s="74"/>
      <c r="D1405" s="8" t="s">
        <v>1293</v>
      </c>
      <c r="E1405" s="11"/>
      <c r="F1405" s="11"/>
      <c r="G1405" s="128"/>
      <c r="H1405" s="128"/>
      <c r="I1405" s="11"/>
      <c r="J1405" s="11"/>
      <c r="K1405" s="11"/>
      <c r="L1405" s="11"/>
      <c r="M1405" s="11"/>
    </row>
    <row r="1406" spans="2:13" ht="15">
      <c r="B1406" s="132"/>
      <c r="C1406" s="74">
        <v>301450</v>
      </c>
      <c r="D1406" s="75" t="s">
        <v>1294</v>
      </c>
      <c r="E1406" s="11"/>
      <c r="F1406" s="11"/>
      <c r="G1406" s="128"/>
      <c r="H1406" s="128"/>
      <c r="I1406" s="11"/>
      <c r="J1406" s="11"/>
      <c r="K1406" s="11"/>
      <c r="L1406" s="11"/>
      <c r="M1406" s="11"/>
    </row>
    <row r="1407" spans="1:13" ht="15">
      <c r="A1407" s="127" t="s">
        <v>1158</v>
      </c>
      <c r="B1407" s="127" t="s">
        <v>2036</v>
      </c>
      <c r="C1407" s="34"/>
      <c r="D1407" s="31" t="s">
        <v>1061</v>
      </c>
      <c r="E1407" s="11"/>
      <c r="F1407" s="11"/>
      <c r="G1407" s="128">
        <f>G215</f>
        <v>20321966.299999997</v>
      </c>
      <c r="H1407" s="128">
        <v>20441473</v>
      </c>
      <c r="I1407" s="11"/>
      <c r="J1407" s="11"/>
      <c r="K1407" s="11"/>
      <c r="L1407" s="11"/>
      <c r="M1407" s="11"/>
    </row>
    <row r="1408" spans="1:13" ht="15">
      <c r="A1408" s="127" t="s">
        <v>780</v>
      </c>
      <c r="B1408" s="127" t="s">
        <v>2036</v>
      </c>
      <c r="C1408" s="31"/>
      <c r="D1408" s="31" t="s">
        <v>204</v>
      </c>
      <c r="E1408" s="18"/>
      <c r="F1408" s="11"/>
      <c r="G1408" s="128">
        <f>G246</f>
        <v>2231820.1</v>
      </c>
      <c r="H1408" s="128">
        <v>4339645</v>
      </c>
      <c r="I1408" s="11"/>
      <c r="J1408" s="11"/>
      <c r="K1408" s="11"/>
      <c r="L1408" s="11"/>
      <c r="M1408" s="11"/>
    </row>
    <row r="1409" spans="1:13" ht="15">
      <c r="A1409" s="127" t="s">
        <v>209</v>
      </c>
      <c r="B1409" s="127" t="s">
        <v>2036</v>
      </c>
      <c r="C1409" s="31"/>
      <c r="D1409" s="31" t="s">
        <v>1347</v>
      </c>
      <c r="E1409" s="11"/>
      <c r="F1409" s="11"/>
      <c r="G1409" s="128">
        <f>G277</f>
        <v>5893591.199999999</v>
      </c>
      <c r="H1409" s="128">
        <v>5667176</v>
      </c>
      <c r="I1409" s="11"/>
      <c r="J1409" s="11"/>
      <c r="K1409" s="11"/>
      <c r="L1409" s="11"/>
      <c r="M1409" s="11"/>
    </row>
    <row r="1410" spans="1:13" ht="15">
      <c r="A1410" s="127" t="s">
        <v>1354</v>
      </c>
      <c r="B1410" s="127" t="s">
        <v>2036</v>
      </c>
      <c r="C1410" s="31"/>
      <c r="D1410" s="31" t="s">
        <v>903</v>
      </c>
      <c r="E1410" s="11"/>
      <c r="F1410" s="11"/>
      <c r="G1410" s="128">
        <f>G309</f>
        <v>2728291.2</v>
      </c>
      <c r="H1410" s="128">
        <v>1162200</v>
      </c>
      <c r="I1410" s="11"/>
      <c r="J1410" s="11"/>
      <c r="K1410" s="11"/>
      <c r="L1410" s="11"/>
      <c r="M1410" s="11"/>
    </row>
    <row r="1411" spans="1:13" ht="15">
      <c r="A1411" s="127" t="s">
        <v>910</v>
      </c>
      <c r="B1411" s="127" t="s">
        <v>2036</v>
      </c>
      <c r="C1411" s="31"/>
      <c r="D1411" s="31" t="s">
        <v>985</v>
      </c>
      <c r="E1411" s="11"/>
      <c r="F1411" s="11"/>
      <c r="G1411" s="128">
        <f>G341</f>
        <v>2336728</v>
      </c>
      <c r="H1411" s="128">
        <v>2438828</v>
      </c>
      <c r="I1411" s="11"/>
      <c r="J1411" s="11"/>
      <c r="K1411" s="11"/>
      <c r="L1411" s="11"/>
      <c r="M1411" s="11"/>
    </row>
    <row r="1412" spans="1:13" ht="15">
      <c r="A1412" s="127" t="s">
        <v>990</v>
      </c>
      <c r="B1412" s="127" t="s">
        <v>2036</v>
      </c>
      <c r="C1412" s="31"/>
      <c r="D1412" s="31" t="s">
        <v>128</v>
      </c>
      <c r="E1412" s="11"/>
      <c r="F1412" s="11"/>
      <c r="G1412" s="128">
        <f>G367</f>
        <v>2127171.77</v>
      </c>
      <c r="H1412" s="128">
        <v>2543972</v>
      </c>
      <c r="I1412" s="11"/>
      <c r="J1412" s="11"/>
      <c r="K1412" s="11"/>
      <c r="L1412" s="11"/>
      <c r="M1412" s="11"/>
    </row>
    <row r="1413" spans="1:13" ht="17.25">
      <c r="A1413" s="127" t="s">
        <v>144</v>
      </c>
      <c r="B1413" s="127" t="s">
        <v>2036</v>
      </c>
      <c r="C1413" s="34"/>
      <c r="D1413" s="31" t="s">
        <v>830</v>
      </c>
      <c r="E1413" s="11"/>
      <c r="F1413" s="11"/>
      <c r="G1413" s="129">
        <f>G403</f>
        <v>3075000</v>
      </c>
      <c r="H1413" s="129">
        <v>9597804</v>
      </c>
      <c r="I1413" s="11"/>
      <c r="J1413" s="11"/>
      <c r="K1413" s="11"/>
      <c r="L1413" s="11"/>
      <c r="M1413" s="11"/>
    </row>
    <row r="1414" spans="1:13" ht="15">
      <c r="A1414" s="31"/>
      <c r="B1414" s="132"/>
      <c r="C1414" s="135"/>
      <c r="D1414" s="31"/>
      <c r="E1414" s="133"/>
      <c r="F1414" s="11"/>
      <c r="G1414" s="128"/>
      <c r="H1414" s="128"/>
      <c r="I1414" s="11"/>
      <c r="J1414" s="11"/>
      <c r="K1414" s="11"/>
      <c r="L1414" s="11"/>
      <c r="M1414" s="11"/>
    </row>
    <row r="1415" spans="2:13" ht="17.25">
      <c r="B1415" s="132"/>
      <c r="C1415" s="136"/>
      <c r="D1415" s="81" t="s">
        <v>943</v>
      </c>
      <c r="E1415" s="130"/>
      <c r="F1415" s="18"/>
      <c r="G1415" s="131">
        <f>SUM(G1407:G1414)</f>
        <v>38714568.57</v>
      </c>
      <c r="H1415" s="131">
        <f>SUM(H1407:H1414)</f>
        <v>46191098</v>
      </c>
      <c r="I1415" s="11"/>
      <c r="J1415" s="11"/>
      <c r="K1415" s="11"/>
      <c r="L1415" s="11"/>
      <c r="M1415" s="11"/>
    </row>
    <row r="1416" spans="2:13" ht="15">
      <c r="B1416" s="132"/>
      <c r="C1416" s="74"/>
      <c r="E1416" s="133"/>
      <c r="F1416" s="11"/>
      <c r="G1416" s="134"/>
      <c r="H1416" s="134"/>
      <c r="I1416" s="11"/>
      <c r="J1416" s="11"/>
      <c r="K1416" s="11"/>
      <c r="L1416" s="11"/>
      <c r="M1416" s="11"/>
    </row>
    <row r="1417" spans="2:13" ht="15">
      <c r="B1417" s="132"/>
      <c r="C1417" s="74"/>
      <c r="E1417" s="133"/>
      <c r="F1417" s="11"/>
      <c r="G1417" s="134"/>
      <c r="H1417" s="134"/>
      <c r="I1417" s="11"/>
      <c r="J1417" s="11"/>
      <c r="K1417" s="11"/>
      <c r="L1417" s="11"/>
      <c r="M1417" s="11"/>
    </row>
    <row r="1418" spans="2:13" ht="15">
      <c r="B1418" s="132"/>
      <c r="C1418" s="74">
        <v>301560</v>
      </c>
      <c r="D1418" s="75" t="s">
        <v>1295</v>
      </c>
      <c r="E1418" s="133"/>
      <c r="F1418" s="11"/>
      <c r="G1418" s="134"/>
      <c r="H1418" s="134"/>
      <c r="I1418" s="11"/>
      <c r="J1418" s="11"/>
      <c r="K1418" s="11"/>
      <c r="L1418" s="11"/>
      <c r="M1418" s="11"/>
    </row>
    <row r="1419" spans="1:13" ht="15">
      <c r="A1419" s="127" t="s">
        <v>595</v>
      </c>
      <c r="B1419" s="127" t="s">
        <v>1059</v>
      </c>
      <c r="C1419" s="34"/>
      <c r="D1419" s="31" t="s">
        <v>596</v>
      </c>
      <c r="E1419" s="133"/>
      <c r="F1419" s="11"/>
      <c r="G1419" s="134">
        <f>G561</f>
        <v>1107032018.67</v>
      </c>
      <c r="H1419" s="134">
        <v>1340325323</v>
      </c>
      <c r="I1419" s="11"/>
      <c r="J1419" s="11"/>
      <c r="K1419" s="11"/>
      <c r="L1419" s="11"/>
      <c r="M1419" s="11"/>
    </row>
    <row r="1420" spans="1:13" ht="17.25">
      <c r="A1420" s="127" t="s">
        <v>595</v>
      </c>
      <c r="B1420" s="127" t="s">
        <v>2036</v>
      </c>
      <c r="C1420" s="34"/>
      <c r="D1420" s="31" t="s">
        <v>597</v>
      </c>
      <c r="E1420" s="133"/>
      <c r="F1420" s="11"/>
      <c r="G1420" s="137">
        <f>G562</f>
        <v>716541250.7599999</v>
      </c>
      <c r="H1420" s="137">
        <v>1142351972</v>
      </c>
      <c r="I1420" s="11"/>
      <c r="J1420" s="11"/>
      <c r="K1420" s="11"/>
      <c r="L1420" s="11"/>
      <c r="M1420" s="11"/>
    </row>
    <row r="1421" spans="5:13" ht="15">
      <c r="E1421" s="133"/>
      <c r="F1421" s="11"/>
      <c r="G1421" s="134"/>
      <c r="H1421" s="134"/>
      <c r="I1421" s="11"/>
      <c r="J1421" s="11"/>
      <c r="K1421" s="11"/>
      <c r="L1421" s="11"/>
      <c r="M1421" s="11"/>
    </row>
    <row r="1422" spans="2:13" ht="17.25">
      <c r="B1422" s="132"/>
      <c r="C1422" s="136"/>
      <c r="D1422" s="81" t="s">
        <v>943</v>
      </c>
      <c r="E1422" s="130"/>
      <c r="F1422" s="18"/>
      <c r="G1422" s="131">
        <f>SUM(G1419:G1421)</f>
        <v>1823573269.4299998</v>
      </c>
      <c r="H1422" s="131">
        <f>SUM(H1419:H1421)</f>
        <v>2482677295</v>
      </c>
      <c r="I1422" s="11"/>
      <c r="J1422" s="11"/>
      <c r="K1422" s="11"/>
      <c r="L1422" s="11"/>
      <c r="M1422" s="11"/>
    </row>
    <row r="1423" spans="2:13" ht="15">
      <c r="B1423" s="132"/>
      <c r="C1423" s="74"/>
      <c r="E1423" s="133"/>
      <c r="F1423" s="11"/>
      <c r="G1423" s="134"/>
      <c r="H1423" s="134"/>
      <c r="I1423" s="11"/>
      <c r="J1423" s="11"/>
      <c r="K1423" s="11"/>
      <c r="L1423" s="11"/>
      <c r="M1423" s="11"/>
    </row>
    <row r="1424" spans="2:13" ht="15">
      <c r="B1424" s="132"/>
      <c r="C1424" s="74"/>
      <c r="E1424" s="133"/>
      <c r="F1424" s="11"/>
      <c r="G1424" s="134"/>
      <c r="H1424" s="134"/>
      <c r="I1424" s="11"/>
      <c r="J1424" s="11"/>
      <c r="K1424" s="11"/>
      <c r="L1424" s="11"/>
      <c r="M1424" s="11"/>
    </row>
    <row r="1425" spans="2:13" ht="15">
      <c r="B1425" s="132"/>
      <c r="C1425" s="74">
        <v>301750</v>
      </c>
      <c r="D1425" s="75" t="s">
        <v>1682</v>
      </c>
      <c r="E1425" s="133"/>
      <c r="F1425" s="11"/>
      <c r="G1425" s="134"/>
      <c r="H1425" s="134"/>
      <c r="I1425" s="11"/>
      <c r="J1425" s="11"/>
      <c r="K1425" s="11"/>
      <c r="L1425" s="11"/>
      <c r="M1425" s="11"/>
    </row>
    <row r="1426" spans="1:13" ht="15">
      <c r="A1426" s="127" t="s">
        <v>2031</v>
      </c>
      <c r="B1426" s="127" t="s">
        <v>2036</v>
      </c>
      <c r="C1426" s="31"/>
      <c r="D1426" s="31" t="s">
        <v>2037</v>
      </c>
      <c r="E1426" s="133"/>
      <c r="F1426" s="11"/>
      <c r="G1426" s="128">
        <f>G169</f>
        <v>2050489.82</v>
      </c>
      <c r="H1426" s="128">
        <v>0</v>
      </c>
      <c r="I1426" s="11"/>
      <c r="J1426" s="11"/>
      <c r="K1426" s="11"/>
      <c r="L1426" s="11"/>
      <c r="M1426" s="11"/>
    </row>
    <row r="1427" spans="1:13" ht="15">
      <c r="A1427" s="127" t="s">
        <v>835</v>
      </c>
      <c r="B1427" s="127" t="s">
        <v>2036</v>
      </c>
      <c r="C1427" s="34"/>
      <c r="D1427" s="31" t="s">
        <v>1394</v>
      </c>
      <c r="E1427" s="11"/>
      <c r="F1427" s="11"/>
      <c r="G1427" s="128">
        <f>G410</f>
        <v>255000</v>
      </c>
      <c r="H1427" s="128"/>
      <c r="I1427" s="11"/>
      <c r="J1427" s="11"/>
      <c r="K1427" s="11"/>
      <c r="L1427" s="11"/>
      <c r="M1427" s="11"/>
    </row>
    <row r="1428" spans="1:13" ht="15">
      <c r="A1428" s="127" t="s">
        <v>856</v>
      </c>
      <c r="B1428" s="127" t="s">
        <v>2036</v>
      </c>
      <c r="C1428" s="34"/>
      <c r="D1428" s="31" t="s">
        <v>862</v>
      </c>
      <c r="E1428" s="133"/>
      <c r="F1428" s="11"/>
      <c r="G1428" s="128">
        <f>G437</f>
        <v>2000180.4</v>
      </c>
      <c r="H1428" s="128">
        <v>8770143</v>
      </c>
      <c r="I1428" s="11"/>
      <c r="J1428" s="11"/>
      <c r="K1428" s="11"/>
      <c r="L1428" s="11"/>
      <c r="M1428" s="11"/>
    </row>
    <row r="1429" spans="1:13" ht="15">
      <c r="A1429" s="127" t="s">
        <v>863</v>
      </c>
      <c r="B1429" s="127" t="s">
        <v>2036</v>
      </c>
      <c r="C1429" s="34"/>
      <c r="D1429" s="31" t="s">
        <v>1230</v>
      </c>
      <c r="E1429" s="133"/>
      <c r="F1429" s="11"/>
      <c r="G1429" s="128">
        <f>G464</f>
        <v>0</v>
      </c>
      <c r="H1429" s="128">
        <v>225335</v>
      </c>
      <c r="I1429" s="11"/>
      <c r="J1429" s="11"/>
      <c r="K1429" s="11"/>
      <c r="L1429" s="11"/>
      <c r="M1429" s="11"/>
    </row>
    <row r="1430" spans="1:13" ht="15">
      <c r="A1430" s="127" t="s">
        <v>947</v>
      </c>
      <c r="B1430" s="127" t="s">
        <v>2036</v>
      </c>
      <c r="C1430" s="34"/>
      <c r="D1430" s="31" t="s">
        <v>637</v>
      </c>
      <c r="E1430" s="133"/>
      <c r="F1430" s="11"/>
      <c r="G1430" s="128">
        <f>G496</f>
        <v>3198508.25</v>
      </c>
      <c r="H1430" s="128">
        <v>3750341</v>
      </c>
      <c r="I1430" s="11"/>
      <c r="J1430" s="11"/>
      <c r="K1430" s="11"/>
      <c r="L1430" s="11"/>
      <c r="M1430" s="11"/>
    </row>
    <row r="1431" spans="1:13" ht="15">
      <c r="A1431" s="127" t="s">
        <v>22</v>
      </c>
      <c r="B1431" s="127" t="s">
        <v>2036</v>
      </c>
      <c r="C1431" s="34"/>
      <c r="D1431" s="31" t="s">
        <v>177</v>
      </c>
      <c r="E1431" s="133"/>
      <c r="F1431" s="11"/>
      <c r="G1431" s="128">
        <f>G527</f>
        <v>10893952.3</v>
      </c>
      <c r="H1431" s="128">
        <v>9924108</v>
      </c>
      <c r="I1431" s="11"/>
      <c r="J1431" s="11"/>
      <c r="K1431" s="11"/>
      <c r="L1431" s="11"/>
      <c r="M1431" s="11"/>
    </row>
    <row r="1432" spans="1:13" ht="15">
      <c r="A1432" s="127" t="s">
        <v>1247</v>
      </c>
      <c r="B1432" s="127" t="s">
        <v>2036</v>
      </c>
      <c r="C1432" s="34"/>
      <c r="D1432" s="31" t="s">
        <v>1249</v>
      </c>
      <c r="E1432" s="133"/>
      <c r="F1432" s="11"/>
      <c r="G1432" s="128">
        <f>G571</f>
        <v>30890257</v>
      </c>
      <c r="H1432" s="128">
        <v>30670917</v>
      </c>
      <c r="I1432" s="11"/>
      <c r="J1432" s="11"/>
      <c r="K1432" s="11"/>
      <c r="L1432" s="11"/>
      <c r="M1432" s="11"/>
    </row>
    <row r="1433" spans="1:13" ht="15">
      <c r="A1433" s="127" t="s">
        <v>1554</v>
      </c>
      <c r="B1433" s="127" t="s">
        <v>2036</v>
      </c>
      <c r="C1433" s="34"/>
      <c r="D1433" s="31" t="s">
        <v>1638</v>
      </c>
      <c r="E1433" s="133"/>
      <c r="F1433" s="11"/>
      <c r="G1433" s="128">
        <f>G592</f>
        <v>1760118.57</v>
      </c>
      <c r="H1433" s="128">
        <v>19039694</v>
      </c>
      <c r="I1433" s="11"/>
      <c r="J1433" s="11"/>
      <c r="K1433" s="11"/>
      <c r="L1433" s="11"/>
      <c r="M1433" s="11"/>
    </row>
    <row r="1434" spans="1:13" ht="17.25">
      <c r="A1434" s="127" t="s">
        <v>1554</v>
      </c>
      <c r="B1434" s="127" t="s">
        <v>2036</v>
      </c>
      <c r="C1434" s="73"/>
      <c r="D1434" s="31" t="s">
        <v>1683</v>
      </c>
      <c r="E1434" s="133"/>
      <c r="F1434" s="11"/>
      <c r="G1434" s="129">
        <f>G606</f>
        <v>51417155.14</v>
      </c>
      <c r="H1434" s="129">
        <v>0</v>
      </c>
      <c r="I1434" s="11"/>
      <c r="J1434" s="11"/>
      <c r="K1434" s="11"/>
      <c r="L1434" s="11"/>
      <c r="M1434" s="11"/>
    </row>
    <row r="1435" spans="2:13" ht="17.25">
      <c r="B1435" s="31"/>
      <c r="C1435" s="136"/>
      <c r="D1435" s="81" t="s">
        <v>943</v>
      </c>
      <c r="E1435" s="130"/>
      <c r="F1435" s="130"/>
      <c r="G1435" s="131">
        <f>SUM(G1426:G1434)</f>
        <v>102465661.48</v>
      </c>
      <c r="H1435" s="131">
        <f>SUM(H1426:H1434)</f>
        <v>72380538</v>
      </c>
      <c r="I1435" s="11"/>
      <c r="J1435" s="11"/>
      <c r="K1435" s="11"/>
      <c r="L1435" s="11"/>
      <c r="M1435" s="11"/>
    </row>
    <row r="1436" spans="2:13" ht="15">
      <c r="B1436" s="31"/>
      <c r="C1436" s="73"/>
      <c r="E1436" s="133"/>
      <c r="F1436" s="11"/>
      <c r="G1436" s="134"/>
      <c r="H1436" s="134"/>
      <c r="I1436" s="11"/>
      <c r="J1436" s="11"/>
      <c r="K1436" s="11"/>
      <c r="L1436" s="11"/>
      <c r="M1436" s="11"/>
    </row>
    <row r="1437" spans="2:13" ht="15">
      <c r="B1437" s="31"/>
      <c r="C1437" s="73"/>
      <c r="E1437" s="133"/>
      <c r="F1437" s="11"/>
      <c r="G1437" s="134"/>
      <c r="H1437" s="134"/>
      <c r="I1437" s="11"/>
      <c r="J1437" s="11"/>
      <c r="K1437" s="11"/>
      <c r="L1437" s="11"/>
      <c r="M1437" s="11"/>
    </row>
    <row r="1438" spans="2:13" ht="15">
      <c r="B1438" s="31"/>
      <c r="C1438" s="73"/>
      <c r="D1438" s="8" t="s">
        <v>1684</v>
      </c>
      <c r="E1438" s="11"/>
      <c r="F1438" s="11"/>
      <c r="G1438" s="134"/>
      <c r="H1438" s="134"/>
      <c r="I1438" s="11"/>
      <c r="J1438" s="11"/>
      <c r="K1438" s="11"/>
      <c r="L1438" s="11"/>
      <c r="M1438" s="11"/>
    </row>
    <row r="1439" spans="2:13" ht="15">
      <c r="B1439" s="132"/>
      <c r="C1439" s="74">
        <v>303300</v>
      </c>
      <c r="D1439" s="75" t="s">
        <v>1685</v>
      </c>
      <c r="E1439" s="11"/>
      <c r="F1439" s="11"/>
      <c r="G1439" s="134"/>
      <c r="H1439" s="134"/>
      <c r="I1439" s="11"/>
      <c r="J1439" s="11"/>
      <c r="K1439" s="11"/>
      <c r="L1439" s="11"/>
      <c r="M1439" s="11"/>
    </row>
    <row r="1440" spans="1:13" ht="15">
      <c r="A1440" s="127" t="s">
        <v>2017</v>
      </c>
      <c r="B1440" s="127" t="s">
        <v>2018</v>
      </c>
      <c r="C1440" s="34"/>
      <c r="D1440" s="31" t="s">
        <v>2019</v>
      </c>
      <c r="E1440" s="11"/>
      <c r="F1440" s="11"/>
      <c r="G1440" s="128">
        <f aca="true" t="shared" si="6" ref="G1440:G1445">G161</f>
        <v>1695045981</v>
      </c>
      <c r="H1440" s="128">
        <v>3253636624</v>
      </c>
      <c r="I1440" s="11"/>
      <c r="J1440" s="11"/>
      <c r="K1440" s="11"/>
      <c r="L1440" s="11"/>
      <c r="M1440" s="11"/>
    </row>
    <row r="1441" spans="1:13" ht="15">
      <c r="A1441" s="127" t="s">
        <v>2020</v>
      </c>
      <c r="B1441" s="127" t="s">
        <v>2018</v>
      </c>
      <c r="C1441" s="31"/>
      <c r="D1441" s="31" t="s">
        <v>2021</v>
      </c>
      <c r="E1441" s="133"/>
      <c r="F1441" s="11"/>
      <c r="G1441" s="128">
        <f t="shared" si="6"/>
        <v>10302866562</v>
      </c>
      <c r="H1441" s="128">
        <v>10505607577</v>
      </c>
      <c r="I1441" s="11"/>
      <c r="J1441" s="11"/>
      <c r="K1441" s="11"/>
      <c r="L1441" s="11"/>
      <c r="M1441" s="11"/>
    </row>
    <row r="1442" spans="1:13" ht="15">
      <c r="A1442" s="127" t="s">
        <v>2022</v>
      </c>
      <c r="B1442" s="127" t="s">
        <v>2023</v>
      </c>
      <c r="C1442" s="34"/>
      <c r="D1442" s="31" t="s">
        <v>2024</v>
      </c>
      <c r="E1442" s="133"/>
      <c r="F1442" s="11"/>
      <c r="G1442" s="128">
        <f t="shared" si="6"/>
        <v>2106687280</v>
      </c>
      <c r="H1442" s="128">
        <v>1136243147</v>
      </c>
      <c r="I1442" s="11"/>
      <c r="J1442" s="11"/>
      <c r="K1442" s="11"/>
      <c r="L1442" s="11"/>
      <c r="M1442" s="11"/>
    </row>
    <row r="1443" spans="1:13" ht="15">
      <c r="A1443" s="127" t="s">
        <v>2025</v>
      </c>
      <c r="B1443" s="138" t="s">
        <v>2023</v>
      </c>
      <c r="C1443" s="34"/>
      <c r="D1443" s="139" t="s">
        <v>2026</v>
      </c>
      <c r="E1443" s="133"/>
      <c r="F1443" s="11"/>
      <c r="G1443" s="128">
        <f t="shared" si="6"/>
        <v>42434813</v>
      </c>
      <c r="H1443" s="128"/>
      <c r="I1443" s="11"/>
      <c r="J1443" s="11"/>
      <c r="K1443" s="11"/>
      <c r="L1443" s="11"/>
      <c r="M1443" s="11"/>
    </row>
    <row r="1444" spans="1:13" ht="15">
      <c r="A1444" s="127" t="s">
        <v>2027</v>
      </c>
      <c r="B1444" s="127" t="s">
        <v>2018</v>
      </c>
      <c r="C1444" s="34"/>
      <c r="D1444" s="31" t="s">
        <v>2028</v>
      </c>
      <c r="E1444" s="11"/>
      <c r="F1444" s="11"/>
      <c r="G1444" s="128">
        <f t="shared" si="6"/>
        <v>2483556777</v>
      </c>
      <c r="H1444" s="128">
        <v>1484507677</v>
      </c>
      <c r="I1444" s="11"/>
      <c r="J1444" s="11"/>
      <c r="K1444" s="11"/>
      <c r="L1444" s="11"/>
      <c r="M1444" s="11"/>
    </row>
    <row r="1445" spans="1:13" ht="17.25">
      <c r="A1445" s="127" t="s">
        <v>2029</v>
      </c>
      <c r="B1445" s="127" t="s">
        <v>2018</v>
      </c>
      <c r="C1445" s="34"/>
      <c r="D1445" s="31" t="s">
        <v>2030</v>
      </c>
      <c r="E1445" s="11"/>
      <c r="F1445" s="11"/>
      <c r="G1445" s="129">
        <f t="shared" si="6"/>
        <v>205166908</v>
      </c>
      <c r="H1445" s="129">
        <v>279640375</v>
      </c>
      <c r="I1445" s="11"/>
      <c r="J1445" s="11"/>
      <c r="K1445" s="11"/>
      <c r="L1445" s="11"/>
      <c r="M1445" s="11"/>
    </row>
    <row r="1446" spans="2:13" ht="17.25">
      <c r="B1446" s="132"/>
      <c r="C1446" s="136"/>
      <c r="D1446" s="81" t="s">
        <v>943</v>
      </c>
      <c r="E1446" s="130"/>
      <c r="F1446" s="18"/>
      <c r="G1446" s="131">
        <f>SUM(G1440:G1445)</f>
        <v>16835758321</v>
      </c>
      <c r="H1446" s="131">
        <f>SUM(H1440:H1445)</f>
        <v>16659635400</v>
      </c>
      <c r="I1446" s="11"/>
      <c r="J1446" s="11"/>
      <c r="K1446" s="11"/>
      <c r="L1446" s="11"/>
      <c r="M1446" s="11"/>
    </row>
    <row r="1447" spans="2:13" ht="15">
      <c r="B1447" s="31"/>
      <c r="C1447" s="73"/>
      <c r="E1447" s="11"/>
      <c r="F1447" s="11"/>
      <c r="G1447" s="134"/>
      <c r="H1447" s="134"/>
      <c r="I1447" s="11"/>
      <c r="J1447" s="11"/>
      <c r="K1447" s="11"/>
      <c r="L1447" s="11"/>
      <c r="M1447" s="11"/>
    </row>
    <row r="1448" spans="5:13" ht="15">
      <c r="E1448" s="11"/>
      <c r="F1448" s="11"/>
      <c r="G1448" s="128"/>
      <c r="H1448" s="128"/>
      <c r="I1448" s="11"/>
      <c r="J1448" s="11"/>
      <c r="K1448" s="11"/>
      <c r="L1448" s="11"/>
      <c r="M1448" s="11"/>
    </row>
    <row r="1449" spans="2:13" ht="15">
      <c r="B1449" s="132"/>
      <c r="C1449" s="74">
        <v>303310</v>
      </c>
      <c r="D1449" s="75" t="s">
        <v>1686</v>
      </c>
      <c r="E1449" s="11"/>
      <c r="F1449" s="11"/>
      <c r="G1449" s="128"/>
      <c r="H1449" s="128"/>
      <c r="I1449" s="11"/>
      <c r="J1449" s="11"/>
      <c r="K1449" s="11"/>
      <c r="L1449" s="11"/>
      <c r="M1449" s="11"/>
    </row>
    <row r="1450" spans="1:13" ht="15">
      <c r="A1450" s="127" t="s">
        <v>2031</v>
      </c>
      <c r="B1450" s="127" t="s">
        <v>2032</v>
      </c>
      <c r="C1450" s="31"/>
      <c r="D1450" s="31" t="s">
        <v>2033</v>
      </c>
      <c r="E1450" s="133"/>
      <c r="F1450" s="11"/>
      <c r="G1450" s="128">
        <f>G167</f>
        <v>2717523561.8300004</v>
      </c>
      <c r="H1450" s="128">
        <v>2131633644</v>
      </c>
      <c r="I1450" s="11"/>
      <c r="J1450" s="11"/>
      <c r="K1450" s="11"/>
      <c r="L1450" s="11"/>
      <c r="M1450" s="11"/>
    </row>
    <row r="1451" spans="1:13" ht="15">
      <c r="A1451" s="127" t="s">
        <v>2031</v>
      </c>
      <c r="B1451" s="127" t="s">
        <v>2034</v>
      </c>
      <c r="C1451" s="31"/>
      <c r="D1451" s="31" t="s">
        <v>2035</v>
      </c>
      <c r="E1451" s="75"/>
      <c r="G1451" s="140">
        <f>G168</f>
        <v>204713.06</v>
      </c>
      <c r="H1451" s="140"/>
      <c r="I1451" s="11"/>
      <c r="J1451" s="11"/>
      <c r="K1451" s="11"/>
      <c r="L1451" s="11"/>
      <c r="M1451" s="11"/>
    </row>
    <row r="1452" spans="1:13" ht="17.25">
      <c r="A1452" s="127" t="s">
        <v>2038</v>
      </c>
      <c r="B1452" s="127" t="s">
        <v>2032</v>
      </c>
      <c r="C1452" s="34"/>
      <c r="D1452" s="31" t="s">
        <v>2039</v>
      </c>
      <c r="E1452" s="8"/>
      <c r="G1452" s="141">
        <f>G170</f>
        <v>1834945</v>
      </c>
      <c r="H1452" s="142">
        <v>4809720</v>
      </c>
      <c r="I1452" s="11"/>
      <c r="J1452" s="11"/>
      <c r="K1452" s="11"/>
      <c r="L1452" s="11"/>
      <c r="M1452" s="11"/>
    </row>
    <row r="1453" spans="2:13" ht="17.25">
      <c r="B1453" s="31"/>
      <c r="C1453" s="77"/>
      <c r="D1453" s="81" t="s">
        <v>943</v>
      </c>
      <c r="E1453" s="81"/>
      <c r="F1453" s="8"/>
      <c r="G1453" s="143">
        <f>SUM(G1450:G1452)</f>
        <v>2719563219.8900003</v>
      </c>
      <c r="H1453" s="143">
        <f>SUM(H1450:H1452)</f>
        <v>2136443364</v>
      </c>
      <c r="I1453" s="11"/>
      <c r="J1453" s="11"/>
      <c r="K1453" s="11"/>
      <c r="L1453" s="11"/>
      <c r="M1453" s="11"/>
    </row>
    <row r="1454" spans="2:13" ht="15">
      <c r="B1454" s="31"/>
      <c r="C1454" s="73"/>
      <c r="G1454" s="140"/>
      <c r="H1454" s="140"/>
      <c r="I1454" s="11"/>
      <c r="J1454" s="11"/>
      <c r="K1454" s="11"/>
      <c r="L1454" s="11"/>
      <c r="M1454" s="11"/>
    </row>
    <row r="1455" spans="2:13" ht="15">
      <c r="B1455" s="132"/>
      <c r="C1455" s="74">
        <v>303320</v>
      </c>
      <c r="D1455" s="75" t="s">
        <v>1687</v>
      </c>
      <c r="E1455" s="75"/>
      <c r="G1455" s="144"/>
      <c r="H1455" s="144"/>
      <c r="I1455" s="11"/>
      <c r="J1455" s="11"/>
      <c r="K1455" s="11"/>
      <c r="L1455" s="11"/>
      <c r="M1455" s="11"/>
    </row>
    <row r="1456" spans="1:13" ht="15">
      <c r="A1456" s="127" t="s">
        <v>2040</v>
      </c>
      <c r="B1456" s="127" t="s">
        <v>2041</v>
      </c>
      <c r="C1456" s="34"/>
      <c r="D1456" s="31" t="s">
        <v>2042</v>
      </c>
      <c r="G1456" s="140">
        <f aca="true" t="shared" si="7" ref="G1456:G1461">G171</f>
        <v>196917205.36</v>
      </c>
      <c r="H1456" s="140">
        <v>110305632</v>
      </c>
      <c r="I1456" s="11"/>
      <c r="J1456" s="11"/>
      <c r="K1456" s="11"/>
      <c r="L1456" s="11"/>
      <c r="M1456" s="11"/>
    </row>
    <row r="1457" spans="1:8" ht="15">
      <c r="A1457" s="127" t="s">
        <v>2040</v>
      </c>
      <c r="B1457" s="127" t="s">
        <v>2023</v>
      </c>
      <c r="C1457" s="34"/>
      <c r="D1457" s="31" t="s">
        <v>2043</v>
      </c>
      <c r="G1457" s="140">
        <f t="shared" si="7"/>
        <v>86989253.63</v>
      </c>
      <c r="H1457" s="140">
        <v>47865530</v>
      </c>
    </row>
    <row r="1458" spans="1:8" ht="15">
      <c r="A1458" s="127" t="s">
        <v>2040</v>
      </c>
      <c r="B1458" s="127" t="s">
        <v>2044</v>
      </c>
      <c r="C1458" s="34"/>
      <c r="D1458" s="31" t="s">
        <v>1694</v>
      </c>
      <c r="G1458" s="140">
        <f t="shared" si="7"/>
        <v>1116667976.25</v>
      </c>
      <c r="H1458" s="140">
        <v>616012238</v>
      </c>
    </row>
    <row r="1459" spans="1:8" ht="15">
      <c r="A1459" s="127" t="s">
        <v>2040</v>
      </c>
      <c r="B1459" s="127" t="s">
        <v>2018</v>
      </c>
      <c r="C1459" s="31"/>
      <c r="D1459" s="31" t="s">
        <v>1695</v>
      </c>
      <c r="E1459" s="75"/>
      <c r="G1459" s="140">
        <f t="shared" si="7"/>
        <v>1575705621.26</v>
      </c>
      <c r="H1459" s="140">
        <v>1327780638</v>
      </c>
    </row>
    <row r="1460" spans="1:8" ht="15">
      <c r="A1460" s="127" t="s">
        <v>2040</v>
      </c>
      <c r="B1460" s="127" t="s">
        <v>1696</v>
      </c>
      <c r="C1460" s="31"/>
      <c r="D1460" s="31" t="s">
        <v>1734</v>
      </c>
      <c r="E1460" s="81"/>
      <c r="G1460" s="140">
        <f t="shared" si="7"/>
        <v>943994780.24</v>
      </c>
      <c r="H1460" s="140">
        <v>526412863</v>
      </c>
    </row>
    <row r="1461" spans="1:8" ht="17.25">
      <c r="A1461" s="127" t="s">
        <v>2040</v>
      </c>
      <c r="B1461" s="127" t="s">
        <v>2032</v>
      </c>
      <c r="C1461" s="34"/>
      <c r="D1461" s="31" t="s">
        <v>1735</v>
      </c>
      <c r="G1461" s="142">
        <f t="shared" si="7"/>
        <v>68419764.26</v>
      </c>
      <c r="H1461" s="142">
        <v>94980460</v>
      </c>
    </row>
    <row r="1462" spans="2:8" ht="17.25">
      <c r="B1462" s="34"/>
      <c r="C1462" s="77"/>
      <c r="D1462" s="81" t="s">
        <v>943</v>
      </c>
      <c r="E1462" s="81"/>
      <c r="F1462" s="81"/>
      <c r="G1462" s="143">
        <f>SUM(G1456:G1461)</f>
        <v>3988694601</v>
      </c>
      <c r="H1462" s="143">
        <f>SUM(H1456:H1461)</f>
        <v>2723357361</v>
      </c>
    </row>
    <row r="1463" spans="2:8" ht="15">
      <c r="B1463" s="34"/>
      <c r="C1463" s="77"/>
      <c r="E1463" s="145"/>
      <c r="G1463" s="146"/>
      <c r="H1463" s="146"/>
    </row>
    <row r="1464" spans="2:8" ht="15">
      <c r="B1464" s="31"/>
      <c r="C1464" s="73"/>
      <c r="G1464" s="140"/>
      <c r="H1464" s="140"/>
    </row>
    <row r="1465" spans="2:8" ht="15">
      <c r="B1465" s="132"/>
      <c r="C1465" s="74">
        <v>303330</v>
      </c>
      <c r="D1465" s="75" t="s">
        <v>1688</v>
      </c>
      <c r="E1465" s="8"/>
      <c r="G1465" s="147"/>
      <c r="H1465" s="147"/>
    </row>
    <row r="1466" spans="1:8" ht="15">
      <c r="A1466" s="127" t="s">
        <v>1736</v>
      </c>
      <c r="B1466" s="127" t="s">
        <v>1696</v>
      </c>
      <c r="C1466" s="31"/>
      <c r="D1466" s="31" t="s">
        <v>1737</v>
      </c>
      <c r="E1466" s="8"/>
      <c r="G1466" s="140">
        <f>G177</f>
        <v>90697233</v>
      </c>
      <c r="H1466" s="140">
        <v>2466052517</v>
      </c>
    </row>
    <row r="1467" spans="1:8" ht="15">
      <c r="A1467" s="127" t="s">
        <v>1738</v>
      </c>
      <c r="B1467" s="127" t="s">
        <v>1696</v>
      </c>
      <c r="C1467" s="31"/>
      <c r="D1467" s="31" t="s">
        <v>1739</v>
      </c>
      <c r="G1467" s="140">
        <f>G178</f>
        <v>4636800501</v>
      </c>
      <c r="H1467" s="140">
        <v>570652017</v>
      </c>
    </row>
    <row r="1468" spans="1:8" ht="17.25">
      <c r="A1468" s="127" t="s">
        <v>1740</v>
      </c>
      <c r="B1468" s="127" t="s">
        <v>1696</v>
      </c>
      <c r="C1468" s="31"/>
      <c r="D1468" s="31" t="s">
        <v>1741</v>
      </c>
      <c r="G1468" s="142">
        <f>G179</f>
        <v>0</v>
      </c>
      <c r="H1468" s="142">
        <v>20661934</v>
      </c>
    </row>
    <row r="1469" spans="2:8" ht="15">
      <c r="B1469" s="31"/>
      <c r="C1469" s="73"/>
      <c r="G1469" s="140"/>
      <c r="H1469" s="140"/>
    </row>
    <row r="1470" spans="2:8" ht="17.25">
      <c r="B1470" s="31"/>
      <c r="C1470" s="77"/>
      <c r="D1470" s="81" t="s">
        <v>943</v>
      </c>
      <c r="E1470" s="81"/>
      <c r="F1470" s="8"/>
      <c r="G1470" s="143">
        <f>SUM(G1466:G1469)</f>
        <v>4727497734</v>
      </c>
      <c r="H1470" s="143">
        <f>SUM(H1466:H1469)</f>
        <v>3057366468</v>
      </c>
    </row>
    <row r="1471" spans="2:8" ht="15">
      <c r="B1471" s="31"/>
      <c r="C1471" s="73"/>
      <c r="G1471" s="140"/>
      <c r="H1471" s="140"/>
    </row>
    <row r="1472" ht="15">
      <c r="B1472" s="132"/>
    </row>
    <row r="1473" spans="1:2" ht="15">
      <c r="A1473" s="127" t="s">
        <v>1742</v>
      </c>
      <c r="B1473" s="127" t="s">
        <v>1743</v>
      </c>
    </row>
    <row r="1474" spans="1:2" ht="15">
      <c r="A1474" s="127" t="s">
        <v>1247</v>
      </c>
      <c r="B1474" s="127" t="s">
        <v>1696</v>
      </c>
    </row>
    <row r="1475" spans="2:8" ht="15">
      <c r="B1475" s="31"/>
      <c r="C1475" s="74">
        <v>303350</v>
      </c>
      <c r="D1475" s="75" t="s">
        <v>1689</v>
      </c>
      <c r="G1475" s="140"/>
      <c r="H1475" s="140"/>
    </row>
    <row r="1476" spans="2:8" ht="15">
      <c r="B1476" s="31"/>
      <c r="C1476" s="31"/>
      <c r="D1476" s="31" t="s">
        <v>1744</v>
      </c>
      <c r="G1476" s="140">
        <f>G180</f>
        <v>85484994</v>
      </c>
      <c r="H1476" s="140">
        <v>64875677</v>
      </c>
    </row>
    <row r="1477" spans="2:8" ht="15">
      <c r="B1477" s="132"/>
      <c r="C1477" s="34"/>
      <c r="D1477" s="31" t="s">
        <v>1248</v>
      </c>
      <c r="G1477" s="140">
        <f>G570</f>
        <v>36992752.79</v>
      </c>
      <c r="H1477" s="140">
        <v>45033863</v>
      </c>
    </row>
    <row r="1478" spans="1:8" ht="15">
      <c r="A1478" s="127" t="s">
        <v>1745</v>
      </c>
      <c r="B1478" s="127" t="s">
        <v>1696</v>
      </c>
      <c r="C1478" s="34"/>
      <c r="D1478" s="31" t="s">
        <v>1746</v>
      </c>
      <c r="G1478" s="140">
        <f aca="true" t="shared" si="8" ref="G1478:G1484">G181</f>
        <v>231140750</v>
      </c>
      <c r="H1478" s="140">
        <v>155555509</v>
      </c>
    </row>
    <row r="1479" spans="1:8" ht="15">
      <c r="A1479" s="127" t="s">
        <v>1747</v>
      </c>
      <c r="B1479" s="127" t="s">
        <v>2044</v>
      </c>
      <c r="C1479" s="31"/>
      <c r="D1479" s="31" t="s">
        <v>359</v>
      </c>
      <c r="G1479" s="140">
        <f t="shared" si="8"/>
        <v>23945353.29</v>
      </c>
      <c r="H1479" s="140">
        <v>43380897</v>
      </c>
    </row>
    <row r="1480" spans="1:8" ht="15">
      <c r="A1480" s="127" t="s">
        <v>1747</v>
      </c>
      <c r="B1480" s="127" t="s">
        <v>2018</v>
      </c>
      <c r="C1480" s="31"/>
      <c r="D1480" s="31" t="s">
        <v>360</v>
      </c>
      <c r="G1480" s="140">
        <f t="shared" si="8"/>
        <v>32937605.91</v>
      </c>
      <c r="H1480" s="140">
        <v>41908395</v>
      </c>
    </row>
    <row r="1481" spans="1:8" ht="15">
      <c r="A1481" s="127" t="s">
        <v>361</v>
      </c>
      <c r="B1481" s="127" t="s">
        <v>1696</v>
      </c>
      <c r="C1481" s="31"/>
      <c r="D1481" s="31" t="s">
        <v>362</v>
      </c>
      <c r="E1481" s="8"/>
      <c r="G1481" s="140">
        <f t="shared" si="8"/>
        <v>446527062</v>
      </c>
      <c r="H1481" s="140">
        <v>282044017</v>
      </c>
    </row>
    <row r="1482" spans="1:8" ht="15">
      <c r="A1482" s="127" t="s">
        <v>363</v>
      </c>
      <c r="B1482" s="127" t="s">
        <v>2034</v>
      </c>
      <c r="C1482" s="31"/>
      <c r="D1482" s="31" t="s">
        <v>1851</v>
      </c>
      <c r="G1482" s="140">
        <f t="shared" si="8"/>
        <v>21781492</v>
      </c>
      <c r="H1482" s="140">
        <v>24168376</v>
      </c>
    </row>
    <row r="1483" spans="1:8" ht="15">
      <c r="A1483" s="127" t="s">
        <v>364</v>
      </c>
      <c r="B1483" s="127" t="s">
        <v>2018</v>
      </c>
      <c r="C1483" s="31"/>
      <c r="D1483" s="31" t="s">
        <v>365</v>
      </c>
      <c r="G1483" s="140">
        <f t="shared" si="8"/>
        <v>189786016</v>
      </c>
      <c r="H1483" s="144">
        <v>132433238</v>
      </c>
    </row>
    <row r="1484" spans="1:8" ht="17.25">
      <c r="A1484" s="127" t="s">
        <v>366</v>
      </c>
      <c r="B1484" s="127" t="s">
        <v>2023</v>
      </c>
      <c r="C1484" s="31"/>
      <c r="D1484" s="31" t="s">
        <v>1154</v>
      </c>
      <c r="G1484" s="142">
        <f t="shared" si="8"/>
        <v>68620057</v>
      </c>
      <c r="H1484" s="142">
        <v>42830880</v>
      </c>
    </row>
    <row r="1485" spans="2:8" ht="17.25">
      <c r="B1485" s="31"/>
      <c r="C1485" s="136"/>
      <c r="D1485" s="81" t="s">
        <v>943</v>
      </c>
      <c r="E1485" s="81"/>
      <c r="F1485" s="81"/>
      <c r="G1485" s="143">
        <f>SUM(G1476:G1484)</f>
        <v>1137216082.99</v>
      </c>
      <c r="H1485" s="143">
        <f>SUM(H1476:H1484)</f>
        <v>832230852</v>
      </c>
    </row>
    <row r="1486" spans="2:8" ht="15">
      <c r="B1486" s="34"/>
      <c r="C1486" s="77"/>
      <c r="G1486" s="140"/>
      <c r="H1486" s="140"/>
    </row>
    <row r="1487" spans="7:8" ht="15">
      <c r="G1487" s="140"/>
      <c r="H1487" s="140"/>
    </row>
    <row r="1488" spans="2:8" ht="15">
      <c r="B1488" s="132"/>
      <c r="C1488" s="74">
        <v>303110</v>
      </c>
      <c r="D1488" s="75" t="s">
        <v>1690</v>
      </c>
      <c r="E1488" s="8"/>
      <c r="G1488" s="147"/>
      <c r="H1488" s="147"/>
    </row>
    <row r="1489" spans="1:8" ht="17.25">
      <c r="A1489" s="127" t="s">
        <v>1155</v>
      </c>
      <c r="B1489" s="31" t="s">
        <v>1156</v>
      </c>
      <c r="C1489" s="31"/>
      <c r="D1489" s="31" t="s">
        <v>1157</v>
      </c>
      <c r="E1489" s="8"/>
      <c r="G1489" s="142">
        <f>G188-H188</f>
        <v>-650208008</v>
      </c>
      <c r="H1489" s="142">
        <v>1690403516</v>
      </c>
    </row>
    <row r="1490" spans="2:8" ht="17.25">
      <c r="B1490" s="31"/>
      <c r="C1490" s="73"/>
      <c r="D1490" s="81" t="s">
        <v>943</v>
      </c>
      <c r="E1490" s="81"/>
      <c r="F1490" s="81"/>
      <c r="G1490" s="143">
        <f>SUM(G1489)</f>
        <v>-650208008</v>
      </c>
      <c r="H1490" s="148">
        <f>SUM(H1489)</f>
        <v>1690403516</v>
      </c>
    </row>
    <row r="1491" spans="2:8" ht="15">
      <c r="B1491" s="34"/>
      <c r="C1491" s="77"/>
      <c r="E1491" s="75"/>
      <c r="G1491" s="144"/>
      <c r="H1491" s="144"/>
    </row>
    <row r="1492" spans="2:8" ht="15">
      <c r="B1492" s="31"/>
      <c r="C1492" s="73"/>
      <c r="G1492" s="140"/>
      <c r="H1492" s="140"/>
    </row>
    <row r="1493" spans="2:8" ht="15">
      <c r="B1493" s="31"/>
      <c r="C1493" s="73"/>
      <c r="D1493" s="8" t="s">
        <v>1691</v>
      </c>
      <c r="E1493" s="81"/>
      <c r="G1493" s="149"/>
      <c r="H1493" s="149"/>
    </row>
    <row r="1494" spans="2:8" ht="15">
      <c r="B1494" s="132"/>
      <c r="C1494" s="74">
        <v>305450</v>
      </c>
      <c r="D1494" s="75" t="s">
        <v>1692</v>
      </c>
      <c r="G1494" s="140"/>
      <c r="H1494" s="140"/>
    </row>
    <row r="1495" spans="1:8" ht="15">
      <c r="A1495" s="127" t="s">
        <v>1158</v>
      </c>
      <c r="B1495" s="127" t="s">
        <v>2041</v>
      </c>
      <c r="C1495" s="34"/>
      <c r="D1495" s="31" t="s">
        <v>730</v>
      </c>
      <c r="E1495" s="132"/>
      <c r="G1495" s="140">
        <f aca="true" t="shared" si="9" ref="G1495:G1510">G197</f>
        <v>80746328.09999998</v>
      </c>
      <c r="H1495" s="144">
        <v>68599337</v>
      </c>
    </row>
    <row r="1496" spans="1:8" ht="15">
      <c r="A1496" s="127" t="s">
        <v>1158</v>
      </c>
      <c r="B1496" s="127" t="s">
        <v>731</v>
      </c>
      <c r="C1496" s="31"/>
      <c r="D1496" s="31" t="s">
        <v>1032</v>
      </c>
      <c r="E1496" s="31"/>
      <c r="G1496" s="140">
        <f t="shared" si="9"/>
        <v>9341863.5</v>
      </c>
      <c r="H1496" s="140">
        <v>0</v>
      </c>
    </row>
    <row r="1497" spans="1:8" ht="15">
      <c r="A1497" s="127" t="s">
        <v>1158</v>
      </c>
      <c r="B1497" s="127" t="s">
        <v>2023</v>
      </c>
      <c r="C1497" s="31"/>
      <c r="D1497" s="31" t="s">
        <v>1033</v>
      </c>
      <c r="E1497" s="31"/>
      <c r="G1497" s="140">
        <f t="shared" si="9"/>
        <v>58443625.54999999</v>
      </c>
      <c r="H1497" s="140">
        <v>44901898</v>
      </c>
    </row>
    <row r="1498" spans="1:8" ht="15">
      <c r="A1498" s="127" t="s">
        <v>1158</v>
      </c>
      <c r="B1498" s="127" t="s">
        <v>2044</v>
      </c>
      <c r="C1498" s="34"/>
      <c r="D1498" s="31" t="s">
        <v>1034</v>
      </c>
      <c r="E1498" s="31"/>
      <c r="G1498" s="140">
        <f t="shared" si="9"/>
        <v>68399269.14999999</v>
      </c>
      <c r="H1498" s="140">
        <v>52901162</v>
      </c>
    </row>
    <row r="1499" spans="1:8" ht="15">
      <c r="A1499" s="127" t="s">
        <v>1158</v>
      </c>
      <c r="B1499" s="127" t="s">
        <v>2018</v>
      </c>
      <c r="C1499" s="34"/>
      <c r="D1499" s="31" t="s">
        <v>1035</v>
      </c>
      <c r="E1499" s="31"/>
      <c r="G1499" s="140">
        <f t="shared" si="9"/>
        <v>79557724.1</v>
      </c>
      <c r="H1499" s="140">
        <v>75079344</v>
      </c>
    </row>
    <row r="1500" spans="1:8" ht="15">
      <c r="A1500" s="127" t="s">
        <v>1158</v>
      </c>
      <c r="B1500" s="127" t="s">
        <v>1696</v>
      </c>
      <c r="C1500" s="34"/>
      <c r="D1500" s="31" t="s">
        <v>1036</v>
      </c>
      <c r="E1500" s="31"/>
      <c r="G1500" s="140">
        <f t="shared" si="9"/>
        <v>96731855.85000002</v>
      </c>
      <c r="H1500" s="140">
        <v>71997786</v>
      </c>
    </row>
    <row r="1501" spans="1:8" ht="15">
      <c r="A1501" s="127" t="s">
        <v>1158</v>
      </c>
      <c r="B1501" s="127" t="s">
        <v>2032</v>
      </c>
      <c r="C1501" s="31"/>
      <c r="D1501" s="31" t="s">
        <v>1037</v>
      </c>
      <c r="E1501" s="31"/>
      <c r="G1501" s="140">
        <f t="shared" si="9"/>
        <v>102863928.99999999</v>
      </c>
      <c r="H1501" s="140">
        <v>75534741</v>
      </c>
    </row>
    <row r="1502" spans="1:8" ht="15">
      <c r="A1502" s="127" t="s">
        <v>1158</v>
      </c>
      <c r="B1502" s="127" t="s">
        <v>1038</v>
      </c>
      <c r="C1502" s="34"/>
      <c r="D1502" s="31" t="s">
        <v>1039</v>
      </c>
      <c r="E1502" s="31"/>
      <c r="G1502" s="140">
        <f t="shared" si="9"/>
        <v>0</v>
      </c>
      <c r="H1502" s="140">
        <v>0</v>
      </c>
    </row>
    <row r="1503" spans="1:8" ht="15">
      <c r="A1503" s="127" t="s">
        <v>1158</v>
      </c>
      <c r="B1503" s="127" t="s">
        <v>1040</v>
      </c>
      <c r="C1503" s="31"/>
      <c r="D1503" s="31" t="s">
        <v>1041</v>
      </c>
      <c r="E1503" s="31"/>
      <c r="G1503" s="140">
        <f t="shared" si="9"/>
        <v>177025860.74999994</v>
      </c>
      <c r="H1503" s="140">
        <v>169769359</v>
      </c>
    </row>
    <row r="1504" spans="1:8" ht="15">
      <c r="A1504" s="127" t="s">
        <v>1158</v>
      </c>
      <c r="B1504" s="127" t="s">
        <v>1042</v>
      </c>
      <c r="C1504" s="31"/>
      <c r="D1504" s="31" t="s">
        <v>1043</v>
      </c>
      <c r="E1504" s="31"/>
      <c r="G1504" s="140">
        <f t="shared" si="9"/>
        <v>27801448.7</v>
      </c>
      <c r="H1504" s="140">
        <v>30065255</v>
      </c>
    </row>
    <row r="1505" spans="1:8" ht="15">
      <c r="A1505" s="127" t="s">
        <v>1158</v>
      </c>
      <c r="B1505" s="127" t="s">
        <v>1743</v>
      </c>
      <c r="C1505" s="34"/>
      <c r="D1505" s="31" t="s">
        <v>1044</v>
      </c>
      <c r="E1505" s="31"/>
      <c r="G1505" s="140">
        <f t="shared" si="9"/>
        <v>28634331.999999996</v>
      </c>
      <c r="H1505" s="140">
        <v>27002761</v>
      </c>
    </row>
    <row r="1506" spans="1:8" ht="15">
      <c r="A1506" s="127" t="s">
        <v>1158</v>
      </c>
      <c r="B1506" s="127" t="s">
        <v>1045</v>
      </c>
      <c r="C1506" s="34"/>
      <c r="D1506" s="31" t="s">
        <v>1046</v>
      </c>
      <c r="E1506" s="31"/>
      <c r="G1506" s="140">
        <f t="shared" si="9"/>
        <v>122755242.45</v>
      </c>
      <c r="H1506" s="140">
        <v>127535271</v>
      </c>
    </row>
    <row r="1507" spans="1:8" ht="15">
      <c r="A1507" s="127" t="s">
        <v>1158</v>
      </c>
      <c r="B1507" s="127" t="s">
        <v>2034</v>
      </c>
      <c r="C1507" s="34"/>
      <c r="D1507" s="31" t="s">
        <v>1047</v>
      </c>
      <c r="E1507" s="31"/>
      <c r="G1507" s="140">
        <f t="shared" si="9"/>
        <v>8515227.600000001</v>
      </c>
      <c r="H1507" s="140">
        <v>68743191</v>
      </c>
    </row>
    <row r="1508" spans="1:8" ht="15">
      <c r="A1508" s="127" t="s">
        <v>1158</v>
      </c>
      <c r="B1508" s="127" t="s">
        <v>1048</v>
      </c>
      <c r="C1508" s="34"/>
      <c r="D1508" s="31" t="s">
        <v>1049</v>
      </c>
      <c r="E1508" s="31"/>
      <c r="G1508" s="140">
        <f t="shared" si="9"/>
        <v>8074925.5</v>
      </c>
      <c r="H1508" s="140"/>
    </row>
    <row r="1509" spans="1:8" ht="15">
      <c r="A1509" s="127" t="s">
        <v>1158</v>
      </c>
      <c r="B1509" s="127" t="s">
        <v>1050</v>
      </c>
      <c r="C1509" s="34"/>
      <c r="D1509" s="31" t="s">
        <v>1051</v>
      </c>
      <c r="E1509" s="150"/>
      <c r="G1509" s="140">
        <f t="shared" si="9"/>
        <v>7476952.8999999985</v>
      </c>
      <c r="H1509" s="149"/>
    </row>
    <row r="1510" spans="1:8" ht="15">
      <c r="A1510" s="127" t="s">
        <v>1158</v>
      </c>
      <c r="B1510" s="127" t="s">
        <v>1052</v>
      </c>
      <c r="C1510" s="34"/>
      <c r="D1510" s="31" t="s">
        <v>1053</v>
      </c>
      <c r="E1510" s="31"/>
      <c r="G1510" s="140">
        <f t="shared" si="9"/>
        <v>55562620.199999996</v>
      </c>
      <c r="H1510" s="140"/>
    </row>
    <row r="1511" spans="1:8" ht="15">
      <c r="A1511" s="127" t="s">
        <v>780</v>
      </c>
      <c r="B1511" s="127" t="s">
        <v>2041</v>
      </c>
      <c r="C1511" s="34"/>
      <c r="D1511" s="31" t="s">
        <v>789</v>
      </c>
      <c r="E1511" s="31"/>
      <c r="G1511" s="140">
        <f aca="true" t="shared" si="10" ref="G1511:G1526">G228</f>
        <v>8596554.549999999</v>
      </c>
      <c r="H1511" s="140">
        <v>5413610</v>
      </c>
    </row>
    <row r="1512" spans="1:8" ht="15">
      <c r="A1512" s="127" t="s">
        <v>780</v>
      </c>
      <c r="B1512" s="127" t="s">
        <v>731</v>
      </c>
      <c r="C1512" s="31"/>
      <c r="D1512" s="31" t="s">
        <v>790</v>
      </c>
      <c r="E1512" s="31"/>
      <c r="G1512" s="140">
        <f t="shared" si="10"/>
        <v>0</v>
      </c>
      <c r="H1512" s="140">
        <v>0</v>
      </c>
    </row>
    <row r="1513" spans="1:8" ht="15">
      <c r="A1513" s="127" t="s">
        <v>780</v>
      </c>
      <c r="B1513" s="127" t="s">
        <v>2023</v>
      </c>
      <c r="C1513" s="34"/>
      <c r="D1513" s="31" t="s">
        <v>791</v>
      </c>
      <c r="E1513" s="31"/>
      <c r="G1513" s="140">
        <f t="shared" si="10"/>
        <v>6135444.949999999</v>
      </c>
      <c r="H1513" s="140">
        <v>4819213</v>
      </c>
    </row>
    <row r="1514" spans="1:8" ht="15">
      <c r="A1514" s="127" t="s">
        <v>780</v>
      </c>
      <c r="B1514" s="127" t="s">
        <v>2044</v>
      </c>
      <c r="C1514" s="34"/>
      <c r="D1514" s="31" t="s">
        <v>792</v>
      </c>
      <c r="E1514" s="31"/>
      <c r="G1514" s="140">
        <f t="shared" si="10"/>
        <v>12153076.650000002</v>
      </c>
      <c r="H1514" s="140">
        <v>15787185</v>
      </c>
    </row>
    <row r="1515" spans="1:8" ht="15">
      <c r="A1515" s="127" t="s">
        <v>780</v>
      </c>
      <c r="B1515" s="127" t="s">
        <v>2018</v>
      </c>
      <c r="C1515" s="34"/>
      <c r="D1515" s="31" t="s">
        <v>793</v>
      </c>
      <c r="E1515" s="31"/>
      <c r="G1515" s="140">
        <f t="shared" si="10"/>
        <v>6946629.550000001</v>
      </c>
      <c r="H1515" s="140">
        <v>8588125</v>
      </c>
    </row>
    <row r="1516" spans="1:8" ht="15">
      <c r="A1516" s="127" t="s">
        <v>780</v>
      </c>
      <c r="B1516" s="127" t="s">
        <v>1696</v>
      </c>
      <c r="C1516" s="34"/>
      <c r="D1516" s="31" t="s">
        <v>794</v>
      </c>
      <c r="E1516" s="31"/>
      <c r="G1516" s="140">
        <f t="shared" si="10"/>
        <v>22111244.899999995</v>
      </c>
      <c r="H1516" s="140">
        <v>40621413</v>
      </c>
    </row>
    <row r="1517" spans="1:8" ht="15">
      <c r="A1517" s="127" t="s">
        <v>780</v>
      </c>
      <c r="B1517" s="127" t="s">
        <v>2032</v>
      </c>
      <c r="C1517" s="34"/>
      <c r="D1517" s="31" t="s">
        <v>795</v>
      </c>
      <c r="E1517" s="31"/>
      <c r="G1517" s="140">
        <f t="shared" si="10"/>
        <v>62706875.9</v>
      </c>
      <c r="H1517" s="140">
        <v>88539676</v>
      </c>
    </row>
    <row r="1518" spans="1:8" ht="15">
      <c r="A1518" s="127" t="s">
        <v>780</v>
      </c>
      <c r="B1518" s="127" t="s">
        <v>1038</v>
      </c>
      <c r="C1518" s="34"/>
      <c r="D1518" s="31" t="s">
        <v>796</v>
      </c>
      <c r="E1518" s="31"/>
      <c r="G1518" s="140">
        <f t="shared" si="10"/>
        <v>0</v>
      </c>
      <c r="H1518" s="140">
        <v>0</v>
      </c>
    </row>
    <row r="1519" spans="1:8" ht="15">
      <c r="A1519" s="127" t="s">
        <v>780</v>
      </c>
      <c r="B1519" s="127" t="s">
        <v>1040</v>
      </c>
      <c r="C1519" s="34"/>
      <c r="D1519" s="31" t="s">
        <v>797</v>
      </c>
      <c r="E1519" s="31"/>
      <c r="G1519" s="140">
        <f t="shared" si="10"/>
        <v>88842322.65</v>
      </c>
      <c r="H1519" s="140">
        <v>89785577</v>
      </c>
    </row>
    <row r="1520" spans="1:8" ht="15">
      <c r="A1520" s="127" t="s">
        <v>780</v>
      </c>
      <c r="B1520" s="127" t="s">
        <v>1042</v>
      </c>
      <c r="C1520" s="31"/>
      <c r="D1520" s="31" t="s">
        <v>1909</v>
      </c>
      <c r="E1520" s="150"/>
      <c r="G1520" s="140">
        <f t="shared" si="10"/>
        <v>3185875.1</v>
      </c>
      <c r="H1520" s="140">
        <v>8863957</v>
      </c>
    </row>
    <row r="1521" spans="1:8" ht="15">
      <c r="A1521" s="127" t="s">
        <v>780</v>
      </c>
      <c r="B1521" s="127" t="s">
        <v>1743</v>
      </c>
      <c r="C1521" s="31"/>
      <c r="D1521" s="31" t="s">
        <v>1910</v>
      </c>
      <c r="E1521" s="31"/>
      <c r="G1521" s="140">
        <f t="shared" si="10"/>
        <v>6340315.500000001</v>
      </c>
      <c r="H1521" s="140">
        <v>8229440</v>
      </c>
    </row>
    <row r="1522" spans="1:8" ht="15">
      <c r="A1522" s="127" t="s">
        <v>780</v>
      </c>
      <c r="B1522" s="127" t="s">
        <v>1045</v>
      </c>
      <c r="C1522" s="34"/>
      <c r="D1522" s="31" t="s">
        <v>197</v>
      </c>
      <c r="E1522" s="150"/>
      <c r="G1522" s="140">
        <f t="shared" si="10"/>
        <v>27245616.850000005</v>
      </c>
      <c r="H1522" s="140">
        <v>49959289</v>
      </c>
    </row>
    <row r="1523" spans="1:8" ht="15">
      <c r="A1523" s="127" t="s">
        <v>780</v>
      </c>
      <c r="B1523" s="127" t="s">
        <v>2034</v>
      </c>
      <c r="C1523" s="34"/>
      <c r="D1523" s="31" t="s">
        <v>198</v>
      </c>
      <c r="E1523" s="31"/>
      <c r="G1523" s="140">
        <f t="shared" si="10"/>
        <v>532203.85</v>
      </c>
      <c r="H1523" s="140">
        <v>29407907</v>
      </c>
    </row>
    <row r="1524" spans="1:8" ht="15">
      <c r="A1524" s="127" t="s">
        <v>780</v>
      </c>
      <c r="B1524" s="127" t="s">
        <v>1048</v>
      </c>
      <c r="C1524" s="34"/>
      <c r="D1524" s="31" t="s">
        <v>199</v>
      </c>
      <c r="E1524" s="31"/>
      <c r="G1524" s="140">
        <f t="shared" si="10"/>
        <v>0</v>
      </c>
      <c r="H1524" s="140">
        <v>0</v>
      </c>
    </row>
    <row r="1525" spans="1:8" ht="15">
      <c r="A1525" s="127" t="s">
        <v>780</v>
      </c>
      <c r="B1525" s="127" t="s">
        <v>1050</v>
      </c>
      <c r="C1525" s="31"/>
      <c r="D1525" s="31" t="s">
        <v>200</v>
      </c>
      <c r="E1525" s="31"/>
      <c r="G1525" s="140">
        <f t="shared" si="10"/>
        <v>0</v>
      </c>
      <c r="H1525" s="140">
        <v>0</v>
      </c>
    </row>
    <row r="1526" spans="1:8" ht="15">
      <c r="A1526" s="127" t="s">
        <v>780</v>
      </c>
      <c r="B1526" s="127" t="s">
        <v>1052</v>
      </c>
      <c r="C1526" s="31"/>
      <c r="D1526" s="31" t="s">
        <v>201</v>
      </c>
      <c r="E1526" s="31"/>
      <c r="G1526" s="140">
        <f t="shared" si="10"/>
        <v>19148603.6</v>
      </c>
      <c r="H1526" s="140">
        <v>0</v>
      </c>
    </row>
    <row r="1527" spans="1:8" ht="15">
      <c r="A1527" s="127" t="s">
        <v>209</v>
      </c>
      <c r="B1527" s="127" t="s">
        <v>2041</v>
      </c>
      <c r="C1527" s="34"/>
      <c r="D1527" s="31" t="s">
        <v>218</v>
      </c>
      <c r="E1527" s="31"/>
      <c r="G1527" s="140">
        <f aca="true" t="shared" si="11" ref="G1527:G1542">G259</f>
        <v>19324312.950000003</v>
      </c>
      <c r="H1527" s="140">
        <v>15791943</v>
      </c>
    </row>
    <row r="1528" spans="1:8" ht="15">
      <c r="A1528" s="127" t="s">
        <v>209</v>
      </c>
      <c r="B1528" s="127" t="s">
        <v>731</v>
      </c>
      <c r="C1528" s="31"/>
      <c r="D1528" s="31" t="s">
        <v>219</v>
      </c>
      <c r="E1528" s="31"/>
      <c r="G1528" s="140">
        <f t="shared" si="11"/>
        <v>1252427.4</v>
      </c>
      <c r="H1528" s="140">
        <v>0</v>
      </c>
    </row>
    <row r="1529" spans="1:8" ht="15">
      <c r="A1529" s="127" t="s">
        <v>209</v>
      </c>
      <c r="B1529" s="127" t="s">
        <v>2023</v>
      </c>
      <c r="C1529" s="34"/>
      <c r="D1529" s="31" t="s">
        <v>220</v>
      </c>
      <c r="E1529" s="31"/>
      <c r="G1529" s="140">
        <f t="shared" si="11"/>
        <v>16194161.900000002</v>
      </c>
      <c r="H1529" s="140">
        <v>11972692</v>
      </c>
    </row>
    <row r="1530" spans="1:8" ht="15">
      <c r="A1530" s="127" t="s">
        <v>209</v>
      </c>
      <c r="B1530" s="127" t="s">
        <v>2044</v>
      </c>
      <c r="C1530" s="34"/>
      <c r="D1530" s="31" t="s">
        <v>221</v>
      </c>
      <c r="E1530" s="31"/>
      <c r="G1530" s="140">
        <f t="shared" si="11"/>
        <v>18434053.600000005</v>
      </c>
      <c r="H1530" s="140">
        <v>19641363</v>
      </c>
    </row>
    <row r="1531" spans="1:8" ht="15">
      <c r="A1531" s="127" t="s">
        <v>209</v>
      </c>
      <c r="B1531" s="127" t="s">
        <v>2018</v>
      </c>
      <c r="C1531" s="34"/>
      <c r="D1531" s="31" t="s">
        <v>222</v>
      </c>
      <c r="E1531" s="150"/>
      <c r="G1531" s="140">
        <f t="shared" si="11"/>
        <v>23256394.200000007</v>
      </c>
      <c r="H1531" s="140">
        <v>20177585</v>
      </c>
    </row>
    <row r="1532" spans="1:8" ht="15">
      <c r="A1532" s="127" t="s">
        <v>209</v>
      </c>
      <c r="B1532" s="127" t="s">
        <v>1696</v>
      </c>
      <c r="C1532" s="34"/>
      <c r="D1532" s="31" t="s">
        <v>223</v>
      </c>
      <c r="E1532" s="31"/>
      <c r="G1532" s="140">
        <f t="shared" si="11"/>
        <v>22795069.8</v>
      </c>
      <c r="H1532" s="140">
        <v>18674701</v>
      </c>
    </row>
    <row r="1533" spans="1:8" ht="15">
      <c r="A1533" s="127" t="s">
        <v>209</v>
      </c>
      <c r="B1533" s="127" t="s">
        <v>2032</v>
      </c>
      <c r="C1533" s="34"/>
      <c r="D1533" s="31" t="s">
        <v>224</v>
      </c>
      <c r="E1533" s="31"/>
      <c r="G1533" s="140">
        <f t="shared" si="11"/>
        <v>26899216.799999997</v>
      </c>
      <c r="H1533" s="140">
        <v>22208247</v>
      </c>
    </row>
    <row r="1534" spans="1:8" ht="15">
      <c r="A1534" s="127" t="s">
        <v>209</v>
      </c>
      <c r="B1534" s="127" t="s">
        <v>1038</v>
      </c>
      <c r="C1534" s="34"/>
      <c r="D1534" s="31" t="s">
        <v>444</v>
      </c>
      <c r="E1534" s="31"/>
      <c r="G1534" s="140">
        <f t="shared" si="11"/>
        <v>0</v>
      </c>
      <c r="H1534" s="140">
        <v>0</v>
      </c>
    </row>
    <row r="1535" spans="1:8" ht="15">
      <c r="A1535" s="127" t="s">
        <v>209</v>
      </c>
      <c r="B1535" s="127" t="s">
        <v>1040</v>
      </c>
      <c r="C1535" s="34"/>
      <c r="D1535" s="31" t="s">
        <v>445</v>
      </c>
      <c r="E1535" s="31"/>
      <c r="G1535" s="140">
        <f t="shared" si="11"/>
        <v>50079735.75</v>
      </c>
      <c r="H1535" s="140">
        <v>48335474</v>
      </c>
    </row>
    <row r="1536" spans="1:8" ht="15">
      <c r="A1536" s="127" t="s">
        <v>209</v>
      </c>
      <c r="B1536" s="127" t="s">
        <v>1042</v>
      </c>
      <c r="C1536" s="31"/>
      <c r="D1536" s="31" t="s">
        <v>446</v>
      </c>
      <c r="E1536" s="31"/>
      <c r="G1536" s="140">
        <f t="shared" si="11"/>
        <v>6124201.800000002</v>
      </c>
      <c r="H1536" s="140">
        <v>6719484</v>
      </c>
    </row>
    <row r="1537" spans="1:8" ht="15">
      <c r="A1537" s="127" t="s">
        <v>209</v>
      </c>
      <c r="B1537" s="127" t="s">
        <v>1743</v>
      </c>
      <c r="C1537" s="31"/>
      <c r="D1537" s="31" t="s">
        <v>447</v>
      </c>
      <c r="E1537" s="31"/>
      <c r="G1537" s="140">
        <f t="shared" si="11"/>
        <v>7110562.6</v>
      </c>
      <c r="H1537" s="140">
        <v>5855367</v>
      </c>
    </row>
    <row r="1538" spans="1:8" ht="15">
      <c r="A1538" s="127" t="s">
        <v>209</v>
      </c>
      <c r="B1538" s="127" t="s">
        <v>1045</v>
      </c>
      <c r="C1538" s="34"/>
      <c r="D1538" s="31" t="s">
        <v>448</v>
      </c>
      <c r="E1538" s="31"/>
      <c r="G1538" s="140">
        <f t="shared" si="11"/>
        <v>31606359.30000001</v>
      </c>
      <c r="H1538" s="140">
        <v>32089277</v>
      </c>
    </row>
    <row r="1539" spans="1:8" ht="15">
      <c r="A1539" s="127" t="s">
        <v>209</v>
      </c>
      <c r="B1539" s="127" t="s">
        <v>2034</v>
      </c>
      <c r="C1539" s="34"/>
      <c r="D1539" s="31" t="s">
        <v>449</v>
      </c>
      <c r="E1539" s="31"/>
      <c r="G1539" s="140">
        <f t="shared" si="11"/>
        <v>8089967.300000002</v>
      </c>
      <c r="H1539" s="140">
        <v>18150737</v>
      </c>
    </row>
    <row r="1540" spans="1:8" ht="15">
      <c r="A1540" s="127" t="s">
        <v>209</v>
      </c>
      <c r="B1540" s="127" t="s">
        <v>1048</v>
      </c>
      <c r="C1540" s="34"/>
      <c r="D1540" s="31" t="s">
        <v>450</v>
      </c>
      <c r="E1540" s="31"/>
      <c r="G1540" s="140">
        <f t="shared" si="11"/>
        <v>1071153</v>
      </c>
      <c r="H1540" s="140"/>
    </row>
    <row r="1541" spans="1:8" ht="15">
      <c r="A1541" s="127" t="s">
        <v>209</v>
      </c>
      <c r="B1541" s="127" t="s">
        <v>1050</v>
      </c>
      <c r="C1541" s="31"/>
      <c r="D1541" s="31" t="s">
        <v>451</v>
      </c>
      <c r="E1541" s="31"/>
      <c r="G1541" s="140">
        <f t="shared" si="11"/>
        <v>1514486.2</v>
      </c>
      <c r="H1541" s="140"/>
    </row>
    <row r="1542" spans="1:8" ht="15">
      <c r="A1542" s="127" t="s">
        <v>209</v>
      </c>
      <c r="B1542" s="127" t="s">
        <v>1052</v>
      </c>
      <c r="C1542" s="31"/>
      <c r="D1542" s="31" t="s">
        <v>452</v>
      </c>
      <c r="E1542" s="31"/>
      <c r="G1542" s="140">
        <f t="shared" si="11"/>
        <v>8857815.049999997</v>
      </c>
      <c r="H1542" s="140"/>
    </row>
    <row r="1543" spans="1:8" ht="15">
      <c r="A1543" s="127" t="s">
        <v>1354</v>
      </c>
      <c r="B1543" s="127" t="s">
        <v>2041</v>
      </c>
      <c r="C1543" s="34"/>
      <c r="D1543" s="31" t="s">
        <v>1363</v>
      </c>
      <c r="E1543" s="150"/>
      <c r="G1543" s="140">
        <f aca="true" t="shared" si="12" ref="G1543:G1558">G291</f>
        <v>26160933.599999998</v>
      </c>
      <c r="H1543" s="140">
        <v>24059837</v>
      </c>
    </row>
    <row r="1544" spans="1:8" ht="15">
      <c r="A1544" s="127" t="s">
        <v>1354</v>
      </c>
      <c r="B1544" s="127" t="s">
        <v>731</v>
      </c>
      <c r="C1544" s="31"/>
      <c r="D1544" s="31" t="s">
        <v>1364</v>
      </c>
      <c r="E1544" s="34"/>
      <c r="G1544" s="140">
        <f t="shared" si="12"/>
        <v>3339806.4</v>
      </c>
      <c r="H1544" s="147">
        <v>0</v>
      </c>
    </row>
    <row r="1545" spans="1:8" ht="15">
      <c r="A1545" s="127" t="s">
        <v>1354</v>
      </c>
      <c r="B1545" s="127" t="s">
        <v>2023</v>
      </c>
      <c r="C1545" s="34"/>
      <c r="D1545" s="31" t="s">
        <v>1365</v>
      </c>
      <c r="E1545" s="34"/>
      <c r="G1545" s="140">
        <f t="shared" si="12"/>
        <v>20144924.000000004</v>
      </c>
      <c r="H1545" s="140">
        <v>12156933</v>
      </c>
    </row>
    <row r="1546" spans="1:8" ht="15">
      <c r="A1546" s="127" t="s">
        <v>1354</v>
      </c>
      <c r="B1546" s="127" t="s">
        <v>2044</v>
      </c>
      <c r="C1546" s="34"/>
      <c r="D1546" s="31" t="s">
        <v>1366</v>
      </c>
      <c r="E1546" s="31"/>
      <c r="G1546" s="140">
        <f t="shared" si="12"/>
        <v>20880348.8</v>
      </c>
      <c r="H1546" s="140">
        <v>10716662</v>
      </c>
    </row>
    <row r="1547" spans="1:8" ht="15">
      <c r="A1547" s="127" t="s">
        <v>1354</v>
      </c>
      <c r="B1547" s="127" t="s">
        <v>2018</v>
      </c>
      <c r="C1547" s="34"/>
      <c r="D1547" s="31" t="s">
        <v>1367</v>
      </c>
      <c r="E1547" s="31"/>
      <c r="G1547" s="140">
        <f t="shared" si="12"/>
        <v>27007150.400000006</v>
      </c>
      <c r="H1547" s="140">
        <v>18079030</v>
      </c>
    </row>
    <row r="1548" spans="1:8" ht="15">
      <c r="A1548" s="127" t="s">
        <v>1354</v>
      </c>
      <c r="B1548" s="127" t="s">
        <v>1696</v>
      </c>
      <c r="C1548" s="34"/>
      <c r="D1548" s="31" t="s">
        <v>1435</v>
      </c>
      <c r="E1548" s="31"/>
      <c r="G1548" s="140">
        <f t="shared" si="12"/>
        <v>28642063.200000003</v>
      </c>
      <c r="H1548" s="140">
        <v>14201924</v>
      </c>
    </row>
    <row r="1549" spans="1:8" ht="15">
      <c r="A1549" s="127" t="s">
        <v>1354</v>
      </c>
      <c r="B1549" s="127" t="s">
        <v>2032</v>
      </c>
      <c r="C1549" s="34"/>
      <c r="D1549" s="31" t="s">
        <v>1436</v>
      </c>
      <c r="E1549" s="31"/>
      <c r="G1549" s="140">
        <f t="shared" si="12"/>
        <v>2728291.2</v>
      </c>
      <c r="H1549" s="140">
        <v>2331974</v>
      </c>
    </row>
    <row r="1550" spans="1:8" ht="15">
      <c r="A1550" s="127" t="s">
        <v>1354</v>
      </c>
      <c r="B1550" s="127" t="s">
        <v>1038</v>
      </c>
      <c r="C1550" s="34"/>
      <c r="D1550" s="31" t="s">
        <v>1437</v>
      </c>
      <c r="E1550" s="31"/>
      <c r="G1550" s="140">
        <f t="shared" si="12"/>
        <v>0</v>
      </c>
      <c r="H1550" s="140">
        <v>0</v>
      </c>
    </row>
    <row r="1551" spans="1:8" ht="15">
      <c r="A1551" s="127" t="s">
        <v>1354</v>
      </c>
      <c r="B1551" s="127" t="s">
        <v>1040</v>
      </c>
      <c r="C1551" s="34"/>
      <c r="D1551" s="31" t="s">
        <v>1438</v>
      </c>
      <c r="E1551" s="31"/>
      <c r="G1551" s="140">
        <f t="shared" si="12"/>
        <v>12539792.799999995</v>
      </c>
      <c r="H1551" s="140">
        <v>12269296</v>
      </c>
    </row>
    <row r="1552" spans="1:8" ht="15">
      <c r="A1552" s="127" t="s">
        <v>1354</v>
      </c>
      <c r="B1552" s="127" t="s">
        <v>1042</v>
      </c>
      <c r="C1552" s="31"/>
      <c r="D1552" s="31" t="s">
        <v>1439</v>
      </c>
      <c r="E1552" s="150"/>
      <c r="G1552" s="140">
        <f t="shared" si="12"/>
        <v>2798822.4</v>
      </c>
      <c r="H1552" s="140">
        <v>2592403</v>
      </c>
    </row>
    <row r="1553" spans="1:8" ht="15">
      <c r="A1553" s="127" t="s">
        <v>1354</v>
      </c>
      <c r="B1553" s="127" t="s">
        <v>1743</v>
      </c>
      <c r="C1553" s="31"/>
      <c r="D1553" s="31" t="s">
        <v>1440</v>
      </c>
      <c r="E1553" s="150"/>
      <c r="G1553" s="140">
        <f t="shared" si="12"/>
        <v>2779627.2</v>
      </c>
      <c r="H1553" s="140">
        <v>2592403</v>
      </c>
    </row>
    <row r="1554" spans="1:8" ht="15">
      <c r="A1554" s="127" t="s">
        <v>1354</v>
      </c>
      <c r="B1554" s="127" t="s">
        <v>1045</v>
      </c>
      <c r="C1554" s="34"/>
      <c r="D1554" s="31" t="s">
        <v>1441</v>
      </c>
      <c r="E1554" s="150"/>
      <c r="G1554" s="140">
        <f t="shared" si="12"/>
        <v>10994400.000000002</v>
      </c>
      <c r="H1554" s="140">
        <v>9138335</v>
      </c>
    </row>
    <row r="1555" spans="1:8" ht="15">
      <c r="A1555" s="127" t="s">
        <v>1354</v>
      </c>
      <c r="B1555" s="127" t="s">
        <v>2034</v>
      </c>
      <c r="C1555" s="34"/>
      <c r="D1555" s="31" t="s">
        <v>1442</v>
      </c>
      <c r="E1555" s="150"/>
      <c r="G1555" s="140">
        <f t="shared" si="12"/>
        <v>3102436.8</v>
      </c>
      <c r="H1555" s="140">
        <v>18040426</v>
      </c>
    </row>
    <row r="1556" spans="1:8" ht="15">
      <c r="A1556" s="127" t="s">
        <v>1354</v>
      </c>
      <c r="B1556" s="127" t="s">
        <v>1048</v>
      </c>
      <c r="C1556" s="34"/>
      <c r="D1556" s="31" t="s">
        <v>1443</v>
      </c>
      <c r="E1556" s="31"/>
      <c r="G1556" s="140">
        <f t="shared" si="12"/>
        <v>2856408</v>
      </c>
      <c r="H1556" s="140"/>
    </row>
    <row r="1557" spans="1:8" ht="15">
      <c r="A1557" s="127" t="s">
        <v>1354</v>
      </c>
      <c r="B1557" s="127" t="s">
        <v>1050</v>
      </c>
      <c r="C1557" s="31"/>
      <c r="D1557" s="31" t="s">
        <v>1444</v>
      </c>
      <c r="E1557" s="31"/>
      <c r="G1557" s="140">
        <f t="shared" si="12"/>
        <v>2990774.4</v>
      </c>
      <c r="H1557" s="140"/>
    </row>
    <row r="1558" spans="1:8" ht="15">
      <c r="A1558" s="127" t="s">
        <v>1354</v>
      </c>
      <c r="B1558" s="127" t="s">
        <v>1052</v>
      </c>
      <c r="C1558" s="31"/>
      <c r="D1558" s="31" t="s">
        <v>900</v>
      </c>
      <c r="E1558" s="31"/>
      <c r="G1558" s="140">
        <f t="shared" si="12"/>
        <v>13968799.999999996</v>
      </c>
      <c r="H1558" s="140"/>
    </row>
    <row r="1559" spans="1:8" ht="15">
      <c r="A1559" s="127" t="s">
        <v>910</v>
      </c>
      <c r="B1559" s="127" t="s">
        <v>2041</v>
      </c>
      <c r="C1559" s="34"/>
      <c r="D1559" s="31" t="s">
        <v>1678</v>
      </c>
      <c r="E1559" s="31"/>
      <c r="G1559" s="140">
        <f aca="true" t="shared" si="13" ref="G1559:G1574">G323</f>
        <v>11765227.45</v>
      </c>
      <c r="H1559" s="140">
        <v>10583101</v>
      </c>
    </row>
    <row r="1560" spans="1:8" ht="15">
      <c r="A1560" s="127" t="s">
        <v>910</v>
      </c>
      <c r="B1560" s="127" t="s">
        <v>731</v>
      </c>
      <c r="C1560" s="31"/>
      <c r="D1560" s="31" t="s">
        <v>1679</v>
      </c>
      <c r="E1560" s="31"/>
      <c r="G1560" s="140">
        <f t="shared" si="13"/>
        <v>1467704.25</v>
      </c>
      <c r="H1560" s="140">
        <v>0</v>
      </c>
    </row>
    <row r="1561" spans="1:8" ht="15">
      <c r="A1561" s="127" t="s">
        <v>910</v>
      </c>
      <c r="B1561" s="127" t="s">
        <v>2023</v>
      </c>
      <c r="C1561" s="34"/>
      <c r="D1561" s="31" t="s">
        <v>1680</v>
      </c>
      <c r="E1561" s="31"/>
      <c r="G1561" s="140">
        <f t="shared" si="13"/>
        <v>6860425.35</v>
      </c>
      <c r="H1561" s="140">
        <v>6440653</v>
      </c>
    </row>
    <row r="1562" spans="1:8" ht="15">
      <c r="A1562" s="127" t="s">
        <v>910</v>
      </c>
      <c r="B1562" s="127" t="s">
        <v>2044</v>
      </c>
      <c r="C1562" s="34"/>
      <c r="D1562" s="31" t="s">
        <v>1681</v>
      </c>
      <c r="E1562" s="31"/>
      <c r="G1562" s="140">
        <f t="shared" si="13"/>
        <v>8048497</v>
      </c>
      <c r="H1562" s="144">
        <v>7417270</v>
      </c>
    </row>
    <row r="1563" spans="1:8" ht="15">
      <c r="A1563" s="127" t="s">
        <v>910</v>
      </c>
      <c r="B1563" s="127" t="s">
        <v>2018</v>
      </c>
      <c r="C1563" s="34"/>
      <c r="D1563" s="31" t="s">
        <v>453</v>
      </c>
      <c r="E1563" s="31"/>
      <c r="G1563" s="140">
        <f t="shared" si="13"/>
        <v>9644156</v>
      </c>
      <c r="H1563" s="140">
        <v>9828183</v>
      </c>
    </row>
    <row r="1564" spans="1:8" ht="15">
      <c r="A1564" s="127" t="s">
        <v>910</v>
      </c>
      <c r="B1564" s="127" t="s">
        <v>1696</v>
      </c>
      <c r="C1564" s="34"/>
      <c r="D1564" s="31" t="s">
        <v>454</v>
      </c>
      <c r="E1564" s="31"/>
      <c r="G1564" s="140">
        <f t="shared" si="13"/>
        <v>11239265</v>
      </c>
      <c r="H1564" s="140">
        <v>10917220</v>
      </c>
    </row>
    <row r="1565" spans="1:8" ht="15">
      <c r="A1565" s="127" t="s">
        <v>910</v>
      </c>
      <c r="B1565" s="127" t="s">
        <v>2032</v>
      </c>
      <c r="C1565" s="34"/>
      <c r="D1565" s="31" t="s">
        <v>1022</v>
      </c>
      <c r="E1565" s="31"/>
      <c r="G1565" s="140">
        <f t="shared" si="13"/>
        <v>13099166.45</v>
      </c>
      <c r="H1565" s="140">
        <v>13059888</v>
      </c>
    </row>
    <row r="1566" spans="1:8" ht="15">
      <c r="A1566" s="127" t="s">
        <v>910</v>
      </c>
      <c r="B1566" s="127" t="s">
        <v>1038</v>
      </c>
      <c r="C1566" s="34"/>
      <c r="D1566" s="31" t="s">
        <v>1023</v>
      </c>
      <c r="E1566" s="31"/>
      <c r="G1566" s="140">
        <f t="shared" si="13"/>
        <v>0</v>
      </c>
      <c r="H1566" s="140"/>
    </row>
    <row r="1567" spans="1:8" ht="15">
      <c r="A1567" s="127" t="s">
        <v>910</v>
      </c>
      <c r="B1567" s="127" t="s">
        <v>1040</v>
      </c>
      <c r="C1567" s="34"/>
      <c r="D1567" s="31" t="s">
        <v>1024</v>
      </c>
      <c r="E1567" s="31"/>
      <c r="G1567" s="140">
        <f t="shared" si="13"/>
        <v>21859728</v>
      </c>
      <c r="H1567" s="140">
        <v>22538122</v>
      </c>
    </row>
    <row r="1568" spans="1:8" ht="15">
      <c r="A1568" s="127" t="s">
        <v>910</v>
      </c>
      <c r="B1568" s="127" t="s">
        <v>1042</v>
      </c>
      <c r="C1568" s="31"/>
      <c r="D1568" s="31" t="s">
        <v>1025</v>
      </c>
      <c r="E1568" s="31"/>
      <c r="G1568" s="140">
        <f t="shared" si="13"/>
        <v>3130504.7</v>
      </c>
      <c r="H1568" s="140">
        <v>3417605</v>
      </c>
    </row>
    <row r="1569" spans="1:8" ht="15">
      <c r="A1569" s="127" t="s">
        <v>910</v>
      </c>
      <c r="B1569" s="127" t="s">
        <v>1743</v>
      </c>
      <c r="C1569" s="31"/>
      <c r="D1569" s="31" t="s">
        <v>1026</v>
      </c>
      <c r="E1569" s="31"/>
      <c r="G1569" s="140">
        <f t="shared" si="13"/>
        <v>3014601</v>
      </c>
      <c r="H1569" s="140">
        <v>3147747</v>
      </c>
    </row>
    <row r="1570" spans="1:8" ht="15">
      <c r="A1570" s="127" t="s">
        <v>910</v>
      </c>
      <c r="B1570" s="127" t="s">
        <v>1045</v>
      </c>
      <c r="C1570" s="34"/>
      <c r="D1570" s="31" t="s">
        <v>978</v>
      </c>
      <c r="E1570" s="31"/>
      <c r="G1570" s="140">
        <f t="shared" si="13"/>
        <v>13953600</v>
      </c>
      <c r="H1570" s="140">
        <v>16284317</v>
      </c>
    </row>
    <row r="1571" spans="1:8" ht="15">
      <c r="A1571" s="127" t="s">
        <v>910</v>
      </c>
      <c r="B1571" s="127" t="s">
        <v>2034</v>
      </c>
      <c r="C1571" s="34"/>
      <c r="D1571" s="31" t="s">
        <v>979</v>
      </c>
      <c r="E1571" s="31"/>
      <c r="G1571" s="140">
        <f t="shared" si="13"/>
        <v>1617794.85</v>
      </c>
      <c r="H1571" s="140">
        <v>10350717</v>
      </c>
    </row>
    <row r="1572" spans="1:8" ht="15">
      <c r="A1572" s="127" t="s">
        <v>910</v>
      </c>
      <c r="B1572" s="127" t="s">
        <v>1048</v>
      </c>
      <c r="C1572" s="34"/>
      <c r="D1572" s="31" t="s">
        <v>980</v>
      </c>
      <c r="E1572" s="31"/>
      <c r="G1572" s="140">
        <f t="shared" si="13"/>
        <v>1103309.45</v>
      </c>
      <c r="H1572" s="140">
        <v>0</v>
      </c>
    </row>
    <row r="1573" spans="1:8" ht="15">
      <c r="A1573" s="127" t="s">
        <v>910</v>
      </c>
      <c r="B1573" s="127" t="s">
        <v>1050</v>
      </c>
      <c r="C1573" s="31"/>
      <c r="D1573" s="31" t="s">
        <v>981</v>
      </c>
      <c r="E1573" s="31"/>
      <c r="G1573" s="140">
        <f t="shared" si="13"/>
        <v>918032.9</v>
      </c>
      <c r="H1573" s="140">
        <v>0</v>
      </c>
    </row>
    <row r="1574" spans="1:8" ht="15">
      <c r="A1574" s="127" t="s">
        <v>910</v>
      </c>
      <c r="B1574" s="127" t="s">
        <v>1052</v>
      </c>
      <c r="C1574" s="31"/>
      <c r="D1574" s="31" t="s">
        <v>982</v>
      </c>
      <c r="E1574" s="31"/>
      <c r="G1574" s="140">
        <f t="shared" si="13"/>
        <v>6508877.8</v>
      </c>
      <c r="H1574" s="140">
        <v>0</v>
      </c>
    </row>
    <row r="1575" spans="1:8" ht="15">
      <c r="A1575" s="127" t="s">
        <v>990</v>
      </c>
      <c r="B1575" s="127" t="s">
        <v>2041</v>
      </c>
      <c r="C1575" s="31"/>
      <c r="D1575" s="31" t="s">
        <v>440</v>
      </c>
      <c r="E1575" s="31"/>
      <c r="G1575" s="140">
        <f aca="true" t="shared" si="14" ref="G1575:G1585">G354</f>
        <v>6471098.65</v>
      </c>
      <c r="H1575" s="140">
        <v>0</v>
      </c>
    </row>
    <row r="1576" spans="1:8" ht="15">
      <c r="A1576" s="127" t="s">
        <v>990</v>
      </c>
      <c r="B1576" s="127" t="s">
        <v>2023</v>
      </c>
      <c r="C1576" s="31"/>
      <c r="D1576" s="31" t="s">
        <v>1514</v>
      </c>
      <c r="E1576" s="31"/>
      <c r="G1576" s="140">
        <f t="shared" si="14"/>
        <v>7709103.3100000005</v>
      </c>
      <c r="H1576" s="140">
        <v>0</v>
      </c>
    </row>
    <row r="1577" spans="1:8" ht="15">
      <c r="A1577" s="127" t="s">
        <v>990</v>
      </c>
      <c r="B1577" s="127" t="s">
        <v>2044</v>
      </c>
      <c r="C1577" s="31"/>
      <c r="D1577" s="31" t="s">
        <v>1515</v>
      </c>
      <c r="E1577" s="31"/>
      <c r="G1577" s="140">
        <f t="shared" si="14"/>
        <v>9573580.75</v>
      </c>
      <c r="H1577" s="140">
        <v>0</v>
      </c>
    </row>
    <row r="1578" spans="1:8" ht="15">
      <c r="A1578" s="127" t="s">
        <v>990</v>
      </c>
      <c r="B1578" s="127" t="s">
        <v>2018</v>
      </c>
      <c r="C1578" s="31"/>
      <c r="D1578" s="31" t="s">
        <v>1516</v>
      </c>
      <c r="E1578" s="31"/>
      <c r="G1578" s="140">
        <f t="shared" si="14"/>
        <v>10210424.48</v>
      </c>
      <c r="H1578" s="140">
        <v>0</v>
      </c>
    </row>
    <row r="1579" spans="1:8" ht="15">
      <c r="A1579" s="127" t="s">
        <v>990</v>
      </c>
      <c r="B1579" s="127" t="s">
        <v>1696</v>
      </c>
      <c r="C1579" s="31"/>
      <c r="D1579" s="31" t="s">
        <v>1517</v>
      </c>
      <c r="E1579" s="31"/>
      <c r="G1579" s="140">
        <f t="shared" si="14"/>
        <v>9996399.5</v>
      </c>
      <c r="H1579" s="140">
        <v>0</v>
      </c>
    </row>
    <row r="1580" spans="1:8" ht="15">
      <c r="A1580" s="127" t="s">
        <v>990</v>
      </c>
      <c r="B1580" s="127" t="s">
        <v>2032</v>
      </c>
      <c r="C1580" s="31"/>
      <c r="D1580" s="31" t="s">
        <v>1518</v>
      </c>
      <c r="E1580" s="31"/>
      <c r="G1580" s="140">
        <f t="shared" si="14"/>
        <v>13987768.729999999</v>
      </c>
      <c r="H1580" s="140">
        <v>0</v>
      </c>
    </row>
    <row r="1581" spans="1:8" ht="15">
      <c r="A1581" s="127" t="s">
        <v>990</v>
      </c>
      <c r="B1581" s="127" t="s">
        <v>1040</v>
      </c>
      <c r="C1581" s="31"/>
      <c r="D1581" s="31" t="s">
        <v>1406</v>
      </c>
      <c r="E1581" s="31"/>
      <c r="G1581" s="140">
        <f t="shared" si="14"/>
        <v>18434616.77</v>
      </c>
      <c r="H1581" s="140">
        <v>0</v>
      </c>
    </row>
    <row r="1582" spans="1:8" ht="15">
      <c r="A1582" s="127" t="s">
        <v>990</v>
      </c>
      <c r="B1582" s="127" t="s">
        <v>1042</v>
      </c>
      <c r="C1582" s="31"/>
      <c r="D1582" s="31" t="s">
        <v>1407</v>
      </c>
      <c r="E1582" s="31"/>
      <c r="G1582" s="140">
        <f t="shared" si="14"/>
        <v>2944290.72</v>
      </c>
      <c r="H1582" s="140">
        <v>0</v>
      </c>
    </row>
    <row r="1583" spans="1:8" ht="15">
      <c r="A1583" s="127" t="s">
        <v>990</v>
      </c>
      <c r="B1583" s="127" t="s">
        <v>1743</v>
      </c>
      <c r="C1583" s="31"/>
      <c r="D1583" s="31" t="s">
        <v>1387</v>
      </c>
      <c r="E1583" s="31"/>
      <c r="G1583" s="140">
        <f t="shared" si="14"/>
        <v>2552606.11</v>
      </c>
      <c r="H1583" s="140">
        <v>0</v>
      </c>
    </row>
    <row r="1584" spans="1:8" ht="15">
      <c r="A1584" s="127" t="s">
        <v>990</v>
      </c>
      <c r="B1584" s="127" t="s">
        <v>1045</v>
      </c>
      <c r="C1584" s="31"/>
      <c r="D1584" s="31" t="s">
        <v>1388</v>
      </c>
      <c r="E1584" s="31"/>
      <c r="G1584" s="140">
        <f t="shared" si="14"/>
        <v>12102628.090000002</v>
      </c>
      <c r="H1584" s="140">
        <v>0</v>
      </c>
    </row>
    <row r="1585" spans="1:8" ht="15">
      <c r="A1585" s="127" t="s">
        <v>990</v>
      </c>
      <c r="B1585" s="127" t="s">
        <v>2034</v>
      </c>
      <c r="C1585" s="31"/>
      <c r="D1585" s="31" t="s">
        <v>1389</v>
      </c>
      <c r="E1585" s="31"/>
      <c r="G1585" s="140">
        <f t="shared" si="14"/>
        <v>8281293.889999999</v>
      </c>
      <c r="H1585" s="140">
        <v>0</v>
      </c>
    </row>
    <row r="1586" spans="1:8" ht="15">
      <c r="A1586" s="127" t="s">
        <v>144</v>
      </c>
      <c r="B1586" s="127" t="s">
        <v>2041</v>
      </c>
      <c r="C1586" s="31"/>
      <c r="D1586" s="31" t="s">
        <v>153</v>
      </c>
      <c r="E1586" s="31"/>
      <c r="G1586" s="140">
        <f aca="true" t="shared" si="15" ref="G1586:G1601">G385</f>
        <v>23609597.889999997</v>
      </c>
      <c r="H1586" s="140">
        <v>45522642</v>
      </c>
    </row>
    <row r="1587" spans="1:8" ht="15">
      <c r="A1587" s="127" t="s">
        <v>144</v>
      </c>
      <c r="B1587" s="127" t="s">
        <v>731</v>
      </c>
      <c r="C1587" s="34"/>
      <c r="D1587" s="31" t="s">
        <v>154</v>
      </c>
      <c r="E1587" s="31"/>
      <c r="G1587" s="140">
        <f t="shared" si="15"/>
        <v>5540036</v>
      </c>
      <c r="H1587" s="140">
        <v>0</v>
      </c>
    </row>
    <row r="1588" spans="1:8" ht="15">
      <c r="A1588" s="127" t="s">
        <v>144</v>
      </c>
      <c r="B1588" s="127" t="s">
        <v>2023</v>
      </c>
      <c r="C1588" s="34"/>
      <c r="D1588" s="31" t="s">
        <v>155</v>
      </c>
      <c r="E1588" s="31"/>
      <c r="G1588" s="140">
        <f t="shared" si="15"/>
        <v>12876936.65</v>
      </c>
      <c r="H1588" s="140">
        <v>31647493</v>
      </c>
    </row>
    <row r="1589" spans="1:8" ht="15">
      <c r="A1589" s="127" t="s">
        <v>144</v>
      </c>
      <c r="B1589" s="127" t="s">
        <v>2044</v>
      </c>
      <c r="C1589" s="34"/>
      <c r="D1589" s="31" t="s">
        <v>156</v>
      </c>
      <c r="E1589" s="31"/>
      <c r="G1589" s="140">
        <f t="shared" si="15"/>
        <v>10495927.059999999</v>
      </c>
      <c r="H1589" s="140">
        <v>36800357</v>
      </c>
    </row>
    <row r="1590" spans="1:8" ht="15">
      <c r="A1590" s="127" t="s">
        <v>144</v>
      </c>
      <c r="B1590" s="127" t="s">
        <v>2018</v>
      </c>
      <c r="C1590" s="34"/>
      <c r="D1590" s="31" t="s">
        <v>157</v>
      </c>
      <c r="E1590" s="31"/>
      <c r="G1590" s="140">
        <f t="shared" si="15"/>
        <v>15127738.829999998</v>
      </c>
      <c r="H1590" s="140">
        <v>49837234</v>
      </c>
    </row>
    <row r="1591" spans="1:8" ht="15">
      <c r="A1591" s="127" t="s">
        <v>144</v>
      </c>
      <c r="B1591" s="127" t="s">
        <v>1696</v>
      </c>
      <c r="C1591" s="34"/>
      <c r="D1591" s="31" t="s">
        <v>158</v>
      </c>
      <c r="E1591" s="31"/>
      <c r="G1591" s="140">
        <f t="shared" si="15"/>
        <v>16010491.160000002</v>
      </c>
      <c r="H1591" s="140">
        <v>43276833</v>
      </c>
    </row>
    <row r="1592" spans="1:8" ht="15">
      <c r="A1592" s="127" t="s">
        <v>144</v>
      </c>
      <c r="B1592" s="127" t="s">
        <v>2032</v>
      </c>
      <c r="C1592" s="34"/>
      <c r="D1592" s="31" t="s">
        <v>159</v>
      </c>
      <c r="E1592" s="31"/>
      <c r="G1592" s="140">
        <f t="shared" si="15"/>
        <v>12190023.46</v>
      </c>
      <c r="H1592" s="140">
        <v>37733076</v>
      </c>
    </row>
    <row r="1593" spans="1:8" ht="15">
      <c r="A1593" s="127" t="s">
        <v>144</v>
      </c>
      <c r="B1593" s="127" t="s">
        <v>1038</v>
      </c>
      <c r="C1593" s="34"/>
      <c r="D1593" s="31" t="s">
        <v>160</v>
      </c>
      <c r="E1593" s="34"/>
      <c r="G1593" s="140">
        <f t="shared" si="15"/>
        <v>0</v>
      </c>
      <c r="H1593" s="147">
        <v>0</v>
      </c>
    </row>
    <row r="1594" spans="1:8" ht="15">
      <c r="A1594" s="127" t="s">
        <v>144</v>
      </c>
      <c r="B1594" s="127" t="s">
        <v>1040</v>
      </c>
      <c r="C1594" s="34"/>
      <c r="D1594" s="31" t="s">
        <v>161</v>
      </c>
      <c r="E1594" s="31"/>
      <c r="G1594" s="140">
        <f t="shared" si="15"/>
        <v>21307007.730000004</v>
      </c>
      <c r="H1594" s="140">
        <v>84636591</v>
      </c>
    </row>
    <row r="1595" spans="1:8" ht="15">
      <c r="A1595" s="127" t="s">
        <v>144</v>
      </c>
      <c r="B1595" s="127" t="s">
        <v>1042</v>
      </c>
      <c r="C1595" s="34"/>
      <c r="D1595" s="31" t="s">
        <v>162</v>
      </c>
      <c r="E1595" s="31"/>
      <c r="G1595" s="140">
        <f t="shared" si="15"/>
        <v>3283426.37</v>
      </c>
      <c r="H1595" s="140">
        <v>12426356</v>
      </c>
    </row>
    <row r="1596" spans="1:8" ht="15">
      <c r="A1596" s="127" t="s">
        <v>144</v>
      </c>
      <c r="B1596" s="127" t="s">
        <v>1743</v>
      </c>
      <c r="C1596" s="34"/>
      <c r="D1596" s="31" t="s">
        <v>822</v>
      </c>
      <c r="E1596" s="31"/>
      <c r="G1596" s="140">
        <f t="shared" si="15"/>
        <v>3783748.08</v>
      </c>
      <c r="H1596" s="140">
        <v>12695509</v>
      </c>
    </row>
    <row r="1597" spans="1:8" ht="15">
      <c r="A1597" s="127" t="s">
        <v>144</v>
      </c>
      <c r="B1597" s="127" t="s">
        <v>1045</v>
      </c>
      <c r="C1597" s="34"/>
      <c r="D1597" s="31" t="s">
        <v>823</v>
      </c>
      <c r="E1597" s="31"/>
      <c r="G1597" s="140">
        <f t="shared" si="15"/>
        <v>21994632.93</v>
      </c>
      <c r="H1597" s="140">
        <v>67958852</v>
      </c>
    </row>
    <row r="1598" spans="1:8" ht="15">
      <c r="A1598" s="127" t="s">
        <v>144</v>
      </c>
      <c r="B1598" s="127" t="s">
        <v>2034</v>
      </c>
      <c r="C1598" s="34"/>
      <c r="D1598" s="31" t="s">
        <v>824</v>
      </c>
      <c r="E1598" s="150"/>
      <c r="G1598" s="140">
        <f t="shared" si="15"/>
        <v>11455282.879999999</v>
      </c>
      <c r="H1598" s="140">
        <v>38870439</v>
      </c>
    </row>
    <row r="1599" spans="1:8" ht="15">
      <c r="A1599" s="127" t="s">
        <v>144</v>
      </c>
      <c r="B1599" s="127" t="s">
        <v>1048</v>
      </c>
      <c r="C1599" s="34"/>
      <c r="D1599" s="31" t="s">
        <v>825</v>
      </c>
      <c r="E1599" s="31"/>
      <c r="G1599" s="140">
        <f t="shared" si="15"/>
        <v>2793472</v>
      </c>
      <c r="H1599" s="140">
        <v>0</v>
      </c>
    </row>
    <row r="1600" spans="1:8" ht="15">
      <c r="A1600" s="127" t="s">
        <v>144</v>
      </c>
      <c r="B1600" s="127" t="s">
        <v>1050</v>
      </c>
      <c r="C1600" s="34"/>
      <c r="D1600" s="31" t="s">
        <v>826</v>
      </c>
      <c r="E1600" s="31"/>
      <c r="G1600" s="140">
        <f t="shared" si="15"/>
        <v>1200000</v>
      </c>
      <c r="H1600" s="140">
        <v>0</v>
      </c>
    </row>
    <row r="1601" spans="1:8" ht="15">
      <c r="A1601" s="127" t="s">
        <v>144</v>
      </c>
      <c r="B1601" s="127" t="s">
        <v>1052</v>
      </c>
      <c r="C1601" s="34"/>
      <c r="D1601" s="31" t="s">
        <v>827</v>
      </c>
      <c r="E1601" s="31"/>
      <c r="G1601" s="140">
        <f t="shared" si="15"/>
        <v>1200000</v>
      </c>
      <c r="H1601" s="140">
        <v>0</v>
      </c>
    </row>
    <row r="1602" spans="5:8" ht="15">
      <c r="E1602" s="34"/>
      <c r="G1602" s="147"/>
      <c r="H1602" s="147"/>
    </row>
    <row r="1603" spans="2:8" ht="15">
      <c r="B1603" s="31"/>
      <c r="C1603" s="73"/>
      <c r="D1603" s="81" t="s">
        <v>943</v>
      </c>
      <c r="E1603" s="150"/>
      <c r="F1603" s="81"/>
      <c r="G1603" s="149">
        <f>SUM(G1495:G1602)</f>
        <v>1998783488.49</v>
      </c>
      <c r="H1603" s="149">
        <f>SUM(H1495:H1602)</f>
        <v>2083331795</v>
      </c>
    </row>
    <row r="1604" spans="5:8" ht="15">
      <c r="E1604" s="34"/>
      <c r="G1604" s="147"/>
      <c r="H1604" s="147"/>
    </row>
    <row r="1605" spans="2:8" ht="15">
      <c r="B1605" s="31"/>
      <c r="C1605" s="73"/>
      <c r="G1605" s="140"/>
      <c r="H1605" s="140"/>
    </row>
    <row r="1606" spans="2:8" ht="15">
      <c r="B1606" s="132"/>
      <c r="C1606" s="74">
        <v>305520</v>
      </c>
      <c r="D1606" s="75" t="s">
        <v>1901</v>
      </c>
      <c r="G1606" s="140"/>
      <c r="H1606" s="140"/>
    </row>
    <row r="1607" spans="1:8" ht="15">
      <c r="A1607" s="127" t="s">
        <v>1398</v>
      </c>
      <c r="B1607" s="127" t="s">
        <v>2041</v>
      </c>
      <c r="C1607" s="31"/>
      <c r="D1607" s="31" t="s">
        <v>843</v>
      </c>
      <c r="G1607" s="140">
        <f>G420</f>
        <v>77187540.28999999</v>
      </c>
      <c r="H1607" s="140">
        <v>69155298</v>
      </c>
    </row>
    <row r="1608" spans="1:8" ht="15">
      <c r="A1608" s="127" t="s">
        <v>1398</v>
      </c>
      <c r="B1608" s="127" t="s">
        <v>2034</v>
      </c>
      <c r="C1608" s="31"/>
      <c r="D1608" s="31" t="s">
        <v>844</v>
      </c>
      <c r="E1608" s="75"/>
      <c r="G1608" s="140">
        <f>G421</f>
        <v>65784415.19</v>
      </c>
      <c r="H1608" s="140">
        <v>42830913</v>
      </c>
    </row>
    <row r="1609" spans="2:8" ht="15">
      <c r="B1609" s="31"/>
      <c r="C1609" s="73"/>
      <c r="D1609" s="31" t="s">
        <v>1399</v>
      </c>
      <c r="G1609" s="140">
        <v>0</v>
      </c>
      <c r="H1609" s="140">
        <v>158152472</v>
      </c>
    </row>
    <row r="1610" spans="2:8" ht="15">
      <c r="B1610" s="31"/>
      <c r="C1610" s="136"/>
      <c r="D1610" s="81" t="s">
        <v>943</v>
      </c>
      <c r="E1610" s="81"/>
      <c r="F1610" s="81"/>
      <c r="G1610" s="149">
        <f>SUM(G1607:G1609)</f>
        <v>142971955.48</v>
      </c>
      <c r="H1610" s="149">
        <f>SUM(H1607:H1609)</f>
        <v>270138683</v>
      </c>
    </row>
    <row r="1611" spans="2:8" ht="15">
      <c r="B1611" s="31"/>
      <c r="C1611" s="73"/>
      <c r="G1611" s="140"/>
      <c r="H1611" s="140"/>
    </row>
    <row r="1612" spans="2:8" ht="15">
      <c r="B1612" s="132"/>
      <c r="C1612" s="74">
        <v>305530</v>
      </c>
      <c r="D1612" s="75" t="s">
        <v>1902</v>
      </c>
      <c r="G1612" s="140"/>
      <c r="H1612" s="140"/>
    </row>
    <row r="1613" spans="1:8" ht="15">
      <c r="A1613" s="127" t="s">
        <v>847</v>
      </c>
      <c r="B1613" s="127" t="s">
        <v>2023</v>
      </c>
      <c r="C1613" s="34"/>
      <c r="D1613" s="31" t="s">
        <v>850</v>
      </c>
      <c r="G1613" s="140">
        <f>G426</f>
        <v>300936719.1</v>
      </c>
      <c r="H1613" s="140">
        <v>210227494</v>
      </c>
    </row>
    <row r="1614" spans="1:8" ht="15">
      <c r="A1614" s="127"/>
      <c r="B1614" s="127" t="s">
        <v>2044</v>
      </c>
      <c r="C1614" s="34"/>
      <c r="D1614" s="31" t="s">
        <v>851</v>
      </c>
      <c r="G1614" s="140">
        <f>G427</f>
        <v>1004800</v>
      </c>
      <c r="H1614" s="140"/>
    </row>
    <row r="1615" spans="1:8" ht="15">
      <c r="A1615" s="127" t="s">
        <v>847</v>
      </c>
      <c r="B1615" s="127" t="s">
        <v>2018</v>
      </c>
      <c r="C1615" s="34"/>
      <c r="D1615" s="31" t="s">
        <v>1693</v>
      </c>
      <c r="G1615" s="140">
        <f>G428</f>
        <v>165088876.5</v>
      </c>
      <c r="H1615" s="140">
        <v>0</v>
      </c>
    </row>
    <row r="1616" spans="1:8" ht="15">
      <c r="A1616" s="127" t="s">
        <v>847</v>
      </c>
      <c r="B1616" s="127" t="s">
        <v>1696</v>
      </c>
      <c r="C1616" s="34"/>
      <c r="D1616" s="31" t="s">
        <v>853</v>
      </c>
      <c r="E1616" s="75"/>
      <c r="G1616" s="140">
        <f>G429</f>
        <v>24429583.87</v>
      </c>
      <c r="H1616" s="140">
        <v>354091104</v>
      </c>
    </row>
    <row r="1617" spans="1:8" ht="15">
      <c r="A1617" s="127" t="s">
        <v>847</v>
      </c>
      <c r="B1617" s="127" t="s">
        <v>2032</v>
      </c>
      <c r="C1617" s="34"/>
      <c r="D1617" s="31" t="s">
        <v>854</v>
      </c>
      <c r="G1617" s="140">
        <f>G430</f>
        <v>0</v>
      </c>
      <c r="H1617" s="140"/>
    </row>
    <row r="1618" spans="2:8" ht="15">
      <c r="B1618" s="31"/>
      <c r="C1618" s="136"/>
      <c r="D1618" s="81" t="s">
        <v>943</v>
      </c>
      <c r="E1618" s="81"/>
      <c r="F1618" s="81"/>
      <c r="G1618" s="149">
        <f>SUM(G1613:G1617)</f>
        <v>491459979.47</v>
      </c>
      <c r="H1618" s="149">
        <f>SUM(H1613:H1617)</f>
        <v>564318598</v>
      </c>
    </row>
    <row r="1619" spans="2:8" ht="15">
      <c r="B1619" s="31"/>
      <c r="C1619" s="73"/>
      <c r="G1619" s="140"/>
      <c r="H1619" s="140"/>
    </row>
    <row r="1620" spans="2:8" ht="15">
      <c r="B1620" s="132"/>
      <c r="C1620" s="74">
        <v>305540</v>
      </c>
      <c r="D1620" s="75" t="s">
        <v>546</v>
      </c>
      <c r="G1620" s="140"/>
      <c r="H1620" s="140"/>
    </row>
    <row r="1621" spans="1:8" ht="15">
      <c r="A1621" s="127" t="s">
        <v>835</v>
      </c>
      <c r="B1621" s="127" t="s">
        <v>2041</v>
      </c>
      <c r="C1621" s="34"/>
      <c r="D1621" s="31" t="s">
        <v>1392</v>
      </c>
      <c r="G1621" s="140">
        <f>G408</f>
        <v>89286349.08</v>
      </c>
      <c r="H1621" s="140">
        <v>80800032</v>
      </c>
    </row>
    <row r="1622" spans="1:8" ht="15">
      <c r="A1622" s="127" t="s">
        <v>856</v>
      </c>
      <c r="B1622" s="127" t="s">
        <v>2023</v>
      </c>
      <c r="C1622" s="34"/>
      <c r="D1622" s="31" t="s">
        <v>857</v>
      </c>
      <c r="E1622" s="75"/>
      <c r="G1622" s="140">
        <f>G432</f>
        <v>90832212.39999995</v>
      </c>
      <c r="H1622" s="140">
        <v>14485519</v>
      </c>
    </row>
    <row r="1623" spans="1:8" ht="15">
      <c r="A1623" s="127" t="s">
        <v>856</v>
      </c>
      <c r="B1623" s="127" t="s">
        <v>2044</v>
      </c>
      <c r="C1623" s="34"/>
      <c r="D1623" s="31" t="s">
        <v>547</v>
      </c>
      <c r="E1623" s="75"/>
      <c r="G1623" s="140">
        <f>G433</f>
        <v>14652000</v>
      </c>
      <c r="H1623" s="140">
        <v>0</v>
      </c>
    </row>
    <row r="1624" spans="1:8" ht="15">
      <c r="A1624" s="127" t="s">
        <v>856</v>
      </c>
      <c r="B1624" s="127" t="s">
        <v>2018</v>
      </c>
      <c r="C1624" s="34"/>
      <c r="D1624" s="31" t="s">
        <v>859</v>
      </c>
      <c r="G1624" s="140">
        <f>G434</f>
        <v>124327579.91</v>
      </c>
      <c r="H1624" s="140">
        <v>30724019</v>
      </c>
    </row>
    <row r="1625" spans="1:8" ht="15">
      <c r="A1625" s="127" t="s">
        <v>856</v>
      </c>
      <c r="B1625" s="127" t="s">
        <v>1696</v>
      </c>
      <c r="C1625" s="34"/>
      <c r="D1625" s="31" t="s">
        <v>860</v>
      </c>
      <c r="G1625" s="140">
        <f>G435</f>
        <v>107005719.05000001</v>
      </c>
      <c r="H1625" s="140">
        <v>49878869</v>
      </c>
    </row>
    <row r="1626" spans="1:8" ht="15">
      <c r="A1626" s="127" t="s">
        <v>856</v>
      </c>
      <c r="B1626" s="127" t="s">
        <v>2032</v>
      </c>
      <c r="C1626" s="34"/>
      <c r="D1626" s="31" t="s">
        <v>861</v>
      </c>
      <c r="G1626" s="140">
        <f>G436</f>
        <v>61114369.46</v>
      </c>
      <c r="H1626" s="140">
        <v>55065014</v>
      </c>
    </row>
    <row r="1627" spans="1:8" ht="15">
      <c r="A1627" s="127" t="s">
        <v>863</v>
      </c>
      <c r="B1627" s="127" t="s">
        <v>2041</v>
      </c>
      <c r="C1627" s="34"/>
      <c r="D1627" s="31" t="s">
        <v>872</v>
      </c>
      <c r="G1627" s="140">
        <f aca="true" t="shared" si="16" ref="G1627:G1642">G446</f>
        <v>8948687.910000002</v>
      </c>
      <c r="H1627" s="140">
        <v>4613185</v>
      </c>
    </row>
    <row r="1628" spans="1:8" ht="15">
      <c r="A1628" s="127" t="s">
        <v>863</v>
      </c>
      <c r="B1628" s="127" t="s">
        <v>731</v>
      </c>
      <c r="C1628" s="31"/>
      <c r="D1628" s="31" t="s">
        <v>873</v>
      </c>
      <c r="G1628" s="140">
        <f t="shared" si="16"/>
        <v>0</v>
      </c>
      <c r="H1628" s="140">
        <v>0</v>
      </c>
    </row>
    <row r="1629" spans="1:8" ht="15">
      <c r="A1629" s="127" t="s">
        <v>863</v>
      </c>
      <c r="B1629" s="127" t="s">
        <v>2023</v>
      </c>
      <c r="C1629" s="31"/>
      <c r="D1629" s="31" t="s">
        <v>874</v>
      </c>
      <c r="G1629" s="140">
        <f t="shared" si="16"/>
        <v>315029.05</v>
      </c>
      <c r="H1629" s="140">
        <v>337551</v>
      </c>
    </row>
    <row r="1630" spans="1:8" ht="15">
      <c r="A1630" s="127" t="s">
        <v>863</v>
      </c>
      <c r="B1630" s="127" t="s">
        <v>2044</v>
      </c>
      <c r="C1630" s="34"/>
      <c r="D1630" s="31" t="s">
        <v>875</v>
      </c>
      <c r="G1630" s="140">
        <f t="shared" si="16"/>
        <v>1170839.15</v>
      </c>
      <c r="H1630" s="140">
        <v>412674</v>
      </c>
    </row>
    <row r="1631" spans="1:8" ht="15">
      <c r="A1631" s="127" t="s">
        <v>863</v>
      </c>
      <c r="B1631" s="127" t="s">
        <v>2018</v>
      </c>
      <c r="C1631" s="34"/>
      <c r="D1631" s="31" t="s">
        <v>876</v>
      </c>
      <c r="G1631" s="140">
        <f t="shared" si="16"/>
        <v>525542.85</v>
      </c>
      <c r="H1631" s="144">
        <v>369971</v>
      </c>
    </row>
    <row r="1632" spans="1:8" ht="15">
      <c r="A1632" s="127" t="s">
        <v>863</v>
      </c>
      <c r="B1632" s="127" t="s">
        <v>1696</v>
      </c>
      <c r="C1632" s="34"/>
      <c r="D1632" s="31" t="s">
        <v>877</v>
      </c>
      <c r="G1632" s="140">
        <f t="shared" si="16"/>
        <v>1886242.75</v>
      </c>
      <c r="H1632" s="140">
        <v>1207629</v>
      </c>
    </row>
    <row r="1633" spans="1:8" ht="15">
      <c r="A1633" s="127" t="s">
        <v>863</v>
      </c>
      <c r="B1633" s="127" t="s">
        <v>2032</v>
      </c>
      <c r="C1633" s="31"/>
      <c r="D1633" s="31" t="s">
        <v>878</v>
      </c>
      <c r="G1633" s="140">
        <f t="shared" si="16"/>
        <v>781763.53</v>
      </c>
      <c r="H1633" s="140">
        <v>790089</v>
      </c>
    </row>
    <row r="1634" spans="1:8" ht="15">
      <c r="A1634" s="127" t="s">
        <v>863</v>
      </c>
      <c r="B1634" s="127" t="s">
        <v>1038</v>
      </c>
      <c r="C1634" s="34"/>
      <c r="D1634" s="31" t="s">
        <v>1577</v>
      </c>
      <c r="G1634" s="140">
        <f t="shared" si="16"/>
        <v>0</v>
      </c>
      <c r="H1634" s="140">
        <v>0</v>
      </c>
    </row>
    <row r="1635" spans="1:8" ht="15">
      <c r="A1635" s="127" t="s">
        <v>863</v>
      </c>
      <c r="B1635" s="127" t="s">
        <v>1040</v>
      </c>
      <c r="C1635" s="31"/>
      <c r="D1635" s="31" t="s">
        <v>1578</v>
      </c>
      <c r="G1635" s="140">
        <f t="shared" si="16"/>
        <v>691689.23</v>
      </c>
      <c r="H1635" s="140">
        <v>717260</v>
      </c>
    </row>
    <row r="1636" spans="1:8" ht="15">
      <c r="A1636" s="127" t="s">
        <v>863</v>
      </c>
      <c r="B1636" s="127" t="s">
        <v>1042</v>
      </c>
      <c r="C1636" s="31"/>
      <c r="D1636" s="31" t="s">
        <v>1579</v>
      </c>
      <c r="G1636" s="140">
        <f t="shared" si="16"/>
        <v>217936.55</v>
      </c>
      <c r="H1636" s="140">
        <v>224599</v>
      </c>
    </row>
    <row r="1637" spans="1:8" ht="15">
      <c r="A1637" s="127" t="s">
        <v>863</v>
      </c>
      <c r="B1637" s="127" t="s">
        <v>1743</v>
      </c>
      <c r="C1637" s="34"/>
      <c r="D1637" s="31" t="s">
        <v>468</v>
      </c>
      <c r="G1637" s="140">
        <f t="shared" si="16"/>
        <v>317748.56</v>
      </c>
      <c r="H1637" s="140">
        <v>3346404</v>
      </c>
    </row>
    <row r="1638" spans="1:8" ht="15">
      <c r="A1638" s="127" t="s">
        <v>863</v>
      </c>
      <c r="B1638" s="127" t="s">
        <v>1045</v>
      </c>
      <c r="C1638" s="34"/>
      <c r="D1638" s="31" t="s">
        <v>469</v>
      </c>
      <c r="G1638" s="140">
        <f t="shared" si="16"/>
        <v>863548.74</v>
      </c>
      <c r="H1638" s="140">
        <v>913759</v>
      </c>
    </row>
    <row r="1639" spans="1:8" ht="15">
      <c r="A1639" s="127" t="s">
        <v>863</v>
      </c>
      <c r="B1639" s="127" t="s">
        <v>2034</v>
      </c>
      <c r="C1639" s="34"/>
      <c r="D1639" s="31" t="s">
        <v>1756</v>
      </c>
      <c r="G1639" s="140">
        <f t="shared" si="16"/>
        <v>946937.27</v>
      </c>
      <c r="H1639" s="140">
        <v>1520504</v>
      </c>
    </row>
    <row r="1640" spans="1:8" ht="15">
      <c r="A1640" s="127" t="s">
        <v>863</v>
      </c>
      <c r="B1640" s="127" t="s">
        <v>1048</v>
      </c>
      <c r="C1640" s="34"/>
      <c r="D1640" s="31" t="s">
        <v>1757</v>
      </c>
      <c r="G1640" s="140">
        <f t="shared" si="16"/>
        <v>0</v>
      </c>
      <c r="H1640" s="140">
        <v>0</v>
      </c>
    </row>
    <row r="1641" spans="1:8" ht="15">
      <c r="A1641" s="127" t="s">
        <v>863</v>
      </c>
      <c r="B1641" s="127" t="s">
        <v>1050</v>
      </c>
      <c r="C1641" s="34"/>
      <c r="D1641" s="31" t="s">
        <v>1758</v>
      </c>
      <c r="G1641" s="140">
        <f t="shared" si="16"/>
        <v>0</v>
      </c>
      <c r="H1641" s="140">
        <v>0</v>
      </c>
    </row>
    <row r="1642" spans="1:8" ht="15">
      <c r="A1642" s="127" t="s">
        <v>863</v>
      </c>
      <c r="B1642" s="127" t="s">
        <v>1052</v>
      </c>
      <c r="C1642" s="34"/>
      <c r="D1642" s="31" t="s">
        <v>649</v>
      </c>
      <c r="G1642" s="140">
        <f t="shared" si="16"/>
        <v>0</v>
      </c>
      <c r="H1642" s="140">
        <v>0</v>
      </c>
    </row>
    <row r="1643" spans="1:8" ht="15">
      <c r="A1643" s="127" t="s">
        <v>947</v>
      </c>
      <c r="B1643" s="127" t="s">
        <v>2041</v>
      </c>
      <c r="C1643" s="34"/>
      <c r="D1643" s="31" t="s">
        <v>619</v>
      </c>
      <c r="G1643" s="140">
        <f aca="true" t="shared" si="17" ref="G1643:G1658">G478</f>
        <v>16085876.880000003</v>
      </c>
      <c r="H1643" s="140">
        <v>11936726</v>
      </c>
    </row>
    <row r="1644" spans="1:8" ht="15">
      <c r="A1644" s="127" t="s">
        <v>947</v>
      </c>
      <c r="B1644" s="127" t="s">
        <v>731</v>
      </c>
      <c r="C1644" s="31"/>
      <c r="D1644" s="31" t="s">
        <v>620</v>
      </c>
      <c r="G1644" s="140">
        <f t="shared" si="17"/>
        <v>119799.17</v>
      </c>
      <c r="H1644" s="140">
        <v>0</v>
      </c>
    </row>
    <row r="1645" spans="1:8" ht="15">
      <c r="A1645" s="127" t="s">
        <v>947</v>
      </c>
      <c r="B1645" s="127" t="s">
        <v>2023</v>
      </c>
      <c r="C1645" s="31"/>
      <c r="D1645" s="31" t="s">
        <v>621</v>
      </c>
      <c r="G1645" s="140">
        <f t="shared" si="17"/>
        <v>4045933.32</v>
      </c>
      <c r="H1645" s="140">
        <v>481504</v>
      </c>
    </row>
    <row r="1646" spans="1:8" ht="15">
      <c r="A1646" s="127" t="s">
        <v>947</v>
      </c>
      <c r="B1646" s="127" t="s">
        <v>2044</v>
      </c>
      <c r="C1646" s="34"/>
      <c r="D1646" s="31" t="s">
        <v>622</v>
      </c>
      <c r="G1646" s="140">
        <f t="shared" si="17"/>
        <v>849375</v>
      </c>
      <c r="H1646" s="140">
        <v>981192</v>
      </c>
    </row>
    <row r="1647" spans="1:8" ht="15">
      <c r="A1647" s="127" t="s">
        <v>947</v>
      </c>
      <c r="B1647" s="127" t="s">
        <v>2018</v>
      </c>
      <c r="C1647" s="34"/>
      <c r="D1647" s="31" t="s">
        <v>623</v>
      </c>
      <c r="G1647" s="140">
        <f t="shared" si="17"/>
        <v>757918.12</v>
      </c>
      <c r="H1647" s="140">
        <v>630334</v>
      </c>
    </row>
    <row r="1648" spans="1:8" ht="15">
      <c r="A1648" s="127" t="s">
        <v>947</v>
      </c>
      <c r="B1648" s="127" t="s">
        <v>1696</v>
      </c>
      <c r="C1648" s="34"/>
      <c r="D1648" s="31" t="s">
        <v>624</v>
      </c>
      <c r="G1648" s="140">
        <f t="shared" si="17"/>
        <v>6169035.160000001</v>
      </c>
      <c r="H1648" s="140">
        <v>1840570</v>
      </c>
    </row>
    <row r="1649" spans="1:8" ht="15">
      <c r="A1649" s="127" t="s">
        <v>947</v>
      </c>
      <c r="B1649" s="127" t="s">
        <v>2032</v>
      </c>
      <c r="C1649" s="31"/>
      <c r="D1649" s="31" t="s">
        <v>625</v>
      </c>
      <c r="G1649" s="140">
        <f t="shared" si="17"/>
        <v>1095900</v>
      </c>
      <c r="H1649" s="140">
        <v>840519</v>
      </c>
    </row>
    <row r="1650" spans="1:8" ht="15">
      <c r="A1650" s="127" t="s">
        <v>947</v>
      </c>
      <c r="B1650" s="127" t="s">
        <v>1038</v>
      </c>
      <c r="C1650" s="34"/>
      <c r="D1650" s="31" t="s">
        <v>626</v>
      </c>
      <c r="G1650" s="140">
        <f t="shared" si="17"/>
        <v>59324</v>
      </c>
      <c r="H1650" s="140"/>
    </row>
    <row r="1651" spans="1:8" ht="15">
      <c r="A1651" s="127" t="s">
        <v>947</v>
      </c>
      <c r="B1651" s="127" t="s">
        <v>1040</v>
      </c>
      <c r="C1651" s="31"/>
      <c r="D1651" s="31" t="s">
        <v>627</v>
      </c>
      <c r="G1651" s="140">
        <f t="shared" si="17"/>
        <v>5653561.870000001</v>
      </c>
      <c r="H1651" s="140">
        <v>4274511</v>
      </c>
    </row>
    <row r="1652" spans="1:8" ht="15">
      <c r="A1652" s="127" t="s">
        <v>947</v>
      </c>
      <c r="B1652" s="127" t="s">
        <v>1042</v>
      </c>
      <c r="C1652" s="31"/>
      <c r="D1652" s="31" t="s">
        <v>628</v>
      </c>
      <c r="G1652" s="140">
        <f t="shared" si="17"/>
        <v>487108.33</v>
      </c>
      <c r="H1652" s="140">
        <v>819577</v>
      </c>
    </row>
    <row r="1653" spans="1:8" ht="15">
      <c r="A1653" s="127" t="s">
        <v>947</v>
      </c>
      <c r="B1653" s="127" t="s">
        <v>1743</v>
      </c>
      <c r="C1653" s="34"/>
      <c r="D1653" s="31" t="s">
        <v>629</v>
      </c>
      <c r="G1653" s="140">
        <f t="shared" si="17"/>
        <v>934379.41</v>
      </c>
      <c r="H1653" s="140">
        <v>697409</v>
      </c>
    </row>
    <row r="1654" spans="1:8" ht="15">
      <c r="A1654" s="127" t="s">
        <v>947</v>
      </c>
      <c r="B1654" s="127" t="s">
        <v>1045</v>
      </c>
      <c r="C1654" s="34"/>
      <c r="D1654" s="31" t="s">
        <v>630</v>
      </c>
      <c r="G1654" s="140">
        <f t="shared" si="17"/>
        <v>3287341.67</v>
      </c>
      <c r="H1654" s="140">
        <v>3368893</v>
      </c>
    </row>
    <row r="1655" spans="1:8" ht="15">
      <c r="A1655" s="127" t="s">
        <v>947</v>
      </c>
      <c r="B1655" s="127" t="s">
        <v>2034</v>
      </c>
      <c r="C1655" s="34"/>
      <c r="D1655" s="31" t="s">
        <v>631</v>
      </c>
      <c r="G1655" s="140">
        <f t="shared" si="17"/>
        <v>3308789.87</v>
      </c>
      <c r="H1655" s="140">
        <v>3556797</v>
      </c>
    </row>
    <row r="1656" spans="1:8" ht="15">
      <c r="A1656" s="127" t="s">
        <v>947</v>
      </c>
      <c r="B1656" s="127" t="s">
        <v>1048</v>
      </c>
      <c r="C1656" s="34"/>
      <c r="D1656" s="31" t="s">
        <v>632</v>
      </c>
      <c r="G1656" s="140">
        <f t="shared" si="17"/>
        <v>0</v>
      </c>
      <c r="H1656" s="140">
        <v>0</v>
      </c>
    </row>
    <row r="1657" spans="1:8" ht="15">
      <c r="A1657" s="127" t="s">
        <v>947</v>
      </c>
      <c r="B1657" s="127" t="s">
        <v>1050</v>
      </c>
      <c r="C1657" s="34"/>
      <c r="D1657" s="31" t="s">
        <v>633</v>
      </c>
      <c r="G1657" s="140">
        <f t="shared" si="17"/>
        <v>0</v>
      </c>
      <c r="H1657" s="140">
        <v>0</v>
      </c>
    </row>
    <row r="1658" spans="1:8" ht="15">
      <c r="A1658" s="127" t="s">
        <v>947</v>
      </c>
      <c r="B1658" s="127" t="s">
        <v>1052</v>
      </c>
      <c r="C1658" s="34"/>
      <c r="D1658" s="31" t="s">
        <v>634</v>
      </c>
      <c r="G1658" s="140">
        <f t="shared" si="17"/>
        <v>0</v>
      </c>
      <c r="H1658" s="140">
        <v>0</v>
      </c>
    </row>
    <row r="1659" spans="1:8" ht="15">
      <c r="A1659" s="127" t="s">
        <v>22</v>
      </c>
      <c r="B1659" s="127" t="s">
        <v>2041</v>
      </c>
      <c r="C1659" s="34"/>
      <c r="D1659" s="31" t="s">
        <v>31</v>
      </c>
      <c r="G1659" s="140">
        <f aca="true" t="shared" si="18" ref="G1659:G1674">G509</f>
        <v>6734531</v>
      </c>
      <c r="H1659" s="140">
        <v>9266268</v>
      </c>
    </row>
    <row r="1660" spans="1:8" ht="15">
      <c r="A1660" s="127" t="s">
        <v>22</v>
      </c>
      <c r="B1660" s="127" t="s">
        <v>731</v>
      </c>
      <c r="C1660" s="31"/>
      <c r="D1660" s="31" t="s">
        <v>32</v>
      </c>
      <c r="G1660" s="140">
        <f t="shared" si="18"/>
        <v>2500180</v>
      </c>
      <c r="H1660" s="140">
        <v>0</v>
      </c>
    </row>
    <row r="1661" spans="1:8" ht="15">
      <c r="A1661" s="127" t="s">
        <v>22</v>
      </c>
      <c r="B1661" s="127" t="s">
        <v>2023</v>
      </c>
      <c r="C1661" s="31"/>
      <c r="D1661" s="31" t="s">
        <v>33</v>
      </c>
      <c r="G1661" s="140">
        <f t="shared" si="18"/>
        <v>0</v>
      </c>
      <c r="H1661" s="140">
        <v>0</v>
      </c>
    </row>
    <row r="1662" spans="1:8" ht="15">
      <c r="A1662" s="127" t="s">
        <v>22</v>
      </c>
      <c r="B1662" s="127" t="s">
        <v>2044</v>
      </c>
      <c r="C1662" s="34"/>
      <c r="D1662" s="31" t="s">
        <v>34</v>
      </c>
      <c r="G1662" s="140">
        <f t="shared" si="18"/>
        <v>0</v>
      </c>
      <c r="H1662" s="140">
        <v>0</v>
      </c>
    </row>
    <row r="1663" spans="1:8" ht="15">
      <c r="A1663" s="127" t="s">
        <v>22</v>
      </c>
      <c r="B1663" s="127" t="s">
        <v>2018</v>
      </c>
      <c r="C1663" s="34"/>
      <c r="D1663" s="31" t="s">
        <v>35</v>
      </c>
      <c r="G1663" s="140">
        <f t="shared" si="18"/>
        <v>0</v>
      </c>
      <c r="H1663" s="140">
        <v>0</v>
      </c>
    </row>
    <row r="1664" spans="1:8" ht="15">
      <c r="A1664" s="127" t="s">
        <v>22</v>
      </c>
      <c r="B1664" s="127" t="s">
        <v>1696</v>
      </c>
      <c r="C1664" s="34"/>
      <c r="D1664" s="31" t="s">
        <v>36</v>
      </c>
      <c r="G1664" s="140">
        <f t="shared" si="18"/>
        <v>140500</v>
      </c>
      <c r="H1664" s="140">
        <v>0</v>
      </c>
    </row>
    <row r="1665" spans="1:8" ht="15">
      <c r="A1665" s="127" t="s">
        <v>22</v>
      </c>
      <c r="B1665" s="127" t="s">
        <v>2032</v>
      </c>
      <c r="C1665" s="31"/>
      <c r="D1665" s="31" t="s">
        <v>37</v>
      </c>
      <c r="G1665" s="140">
        <f t="shared" si="18"/>
        <v>4500</v>
      </c>
      <c r="H1665" s="140">
        <v>0</v>
      </c>
    </row>
    <row r="1666" spans="1:8" ht="15">
      <c r="A1666" s="127" t="s">
        <v>22</v>
      </c>
      <c r="B1666" s="127" t="s">
        <v>1038</v>
      </c>
      <c r="C1666" s="34"/>
      <c r="D1666" s="31" t="s">
        <v>38</v>
      </c>
      <c r="G1666" s="140">
        <f t="shared" si="18"/>
        <v>0</v>
      </c>
      <c r="H1666" s="140">
        <v>0</v>
      </c>
    </row>
    <row r="1667" spans="1:8" ht="15">
      <c r="A1667" s="127" t="s">
        <v>22</v>
      </c>
      <c r="B1667" s="127" t="s">
        <v>1040</v>
      </c>
      <c r="C1667" s="31"/>
      <c r="D1667" s="31" t="s">
        <v>39</v>
      </c>
      <c r="G1667" s="140">
        <f t="shared" si="18"/>
        <v>0</v>
      </c>
      <c r="H1667" s="140">
        <v>1560558</v>
      </c>
    </row>
    <row r="1668" spans="1:8" ht="15">
      <c r="A1668" s="127" t="s">
        <v>22</v>
      </c>
      <c r="B1668" s="127" t="s">
        <v>1042</v>
      </c>
      <c r="C1668" s="31"/>
      <c r="D1668" s="31" t="s">
        <v>40</v>
      </c>
      <c r="G1668" s="140">
        <f t="shared" si="18"/>
        <v>0</v>
      </c>
      <c r="H1668" s="140">
        <v>0</v>
      </c>
    </row>
    <row r="1669" spans="1:8" ht="15">
      <c r="A1669" s="127" t="s">
        <v>22</v>
      </c>
      <c r="B1669" s="127" t="s">
        <v>1743</v>
      </c>
      <c r="C1669" s="34"/>
      <c r="D1669" s="31" t="s">
        <v>169</v>
      </c>
      <c r="G1669" s="140">
        <f t="shared" si="18"/>
        <v>0</v>
      </c>
      <c r="H1669" s="140">
        <v>1579949</v>
      </c>
    </row>
    <row r="1670" spans="1:8" ht="15">
      <c r="A1670" s="127" t="s">
        <v>22</v>
      </c>
      <c r="B1670" s="127" t="s">
        <v>1045</v>
      </c>
      <c r="C1670" s="34"/>
      <c r="D1670" s="31" t="s">
        <v>170</v>
      </c>
      <c r="G1670" s="140">
        <f t="shared" si="18"/>
        <v>2708484</v>
      </c>
      <c r="H1670" s="140">
        <v>1128535</v>
      </c>
    </row>
    <row r="1671" spans="1:8" ht="15">
      <c r="A1671" s="127" t="s">
        <v>22</v>
      </c>
      <c r="B1671" s="127" t="s">
        <v>2034</v>
      </c>
      <c r="C1671" s="34"/>
      <c r="D1671" s="31" t="s">
        <v>171</v>
      </c>
      <c r="G1671" s="140">
        <f t="shared" si="18"/>
        <v>1750126</v>
      </c>
      <c r="H1671" s="140">
        <v>4242216</v>
      </c>
    </row>
    <row r="1672" spans="1:8" ht="15">
      <c r="A1672" s="127" t="s">
        <v>22</v>
      </c>
      <c r="B1672" s="127" t="s">
        <v>1048</v>
      </c>
      <c r="C1672" s="34"/>
      <c r="D1672" s="31" t="s">
        <v>172</v>
      </c>
      <c r="G1672" s="140">
        <f t="shared" si="18"/>
        <v>1000072</v>
      </c>
      <c r="H1672" s="140">
        <v>0</v>
      </c>
    </row>
    <row r="1673" spans="1:8" ht="15">
      <c r="A1673" s="127" t="s">
        <v>22</v>
      </c>
      <c r="B1673" s="127" t="s">
        <v>1050</v>
      </c>
      <c r="C1673" s="34"/>
      <c r="D1673" s="31" t="s">
        <v>173</v>
      </c>
      <c r="G1673" s="140">
        <f t="shared" si="18"/>
        <v>0</v>
      </c>
      <c r="H1673" s="140">
        <v>0</v>
      </c>
    </row>
    <row r="1674" spans="1:8" ht="15">
      <c r="A1674" s="127" t="s">
        <v>22</v>
      </c>
      <c r="B1674" s="127" t="s">
        <v>1052</v>
      </c>
      <c r="C1674" s="34"/>
      <c r="D1674" s="31" t="s">
        <v>174</v>
      </c>
      <c r="G1674" s="140">
        <f t="shared" si="18"/>
        <v>0</v>
      </c>
      <c r="H1674" s="140">
        <v>0</v>
      </c>
    </row>
    <row r="1675" spans="1:8" ht="15">
      <c r="A1675" s="132"/>
      <c r="B1675" s="132"/>
      <c r="C1675" s="151"/>
      <c r="D1675" s="150" t="s">
        <v>943</v>
      </c>
      <c r="E1675" s="81"/>
      <c r="F1675" s="81"/>
      <c r="G1675" s="149">
        <f>SUM(G1621:G1674)</f>
        <v>561576931.29</v>
      </c>
      <c r="H1675" s="149">
        <f>SUM(H1621:H1674)</f>
        <v>292612636</v>
      </c>
    </row>
    <row r="1676" spans="2:8" ht="15">
      <c r="B1676" s="31"/>
      <c r="C1676" s="73"/>
      <c r="G1676" s="140"/>
      <c r="H1676" s="140"/>
    </row>
    <row r="1677" spans="2:8" ht="15">
      <c r="B1677" s="132"/>
      <c r="C1677" s="74">
        <v>305350</v>
      </c>
      <c r="D1677" s="75" t="s">
        <v>548</v>
      </c>
      <c r="G1677" s="140"/>
      <c r="H1677" s="140"/>
    </row>
    <row r="1678" spans="1:8" ht="15">
      <c r="A1678" s="127" t="s">
        <v>1554</v>
      </c>
      <c r="B1678" s="127" t="s">
        <v>2041</v>
      </c>
      <c r="C1678" s="34"/>
      <c r="D1678" s="31" t="s">
        <v>1560</v>
      </c>
      <c r="G1678" s="140">
        <f aca="true" t="shared" si="19" ref="G1678:G1684">G583</f>
        <v>99749131.59</v>
      </c>
      <c r="H1678" s="140">
        <v>19408773</v>
      </c>
    </row>
    <row r="1679" spans="1:8" ht="15">
      <c r="A1679" s="127" t="s">
        <v>1554</v>
      </c>
      <c r="B1679" s="127" t="s">
        <v>1040</v>
      </c>
      <c r="C1679" s="34"/>
      <c r="D1679" s="31" t="s">
        <v>1561</v>
      </c>
      <c r="E1679" s="75"/>
      <c r="G1679" s="140">
        <f t="shared" si="19"/>
        <v>67567186</v>
      </c>
      <c r="H1679" s="140">
        <v>50505898</v>
      </c>
    </row>
    <row r="1680" spans="1:8" ht="15">
      <c r="A1680" s="127" t="s">
        <v>1554</v>
      </c>
      <c r="B1680" s="127" t="s">
        <v>1042</v>
      </c>
      <c r="C1680" s="34"/>
      <c r="D1680" s="31" t="s">
        <v>1631</v>
      </c>
      <c r="G1680" s="140">
        <f t="shared" si="19"/>
        <v>73046663.17999999</v>
      </c>
      <c r="H1680" s="140">
        <v>17865608</v>
      </c>
    </row>
    <row r="1681" spans="1:8" ht="15">
      <c r="A1681" s="127" t="s">
        <v>1554</v>
      </c>
      <c r="B1681" s="127" t="s">
        <v>1743</v>
      </c>
      <c r="C1681" s="34"/>
      <c r="D1681" s="31" t="s">
        <v>1632</v>
      </c>
      <c r="G1681" s="140">
        <f t="shared" si="19"/>
        <v>8663030.26</v>
      </c>
      <c r="H1681" s="140">
        <v>19614439</v>
      </c>
    </row>
    <row r="1682" spans="1:8" ht="15">
      <c r="A1682" s="127" t="s">
        <v>1554</v>
      </c>
      <c r="B1682" s="127" t="s">
        <v>1045</v>
      </c>
      <c r="C1682" s="34"/>
      <c r="D1682" s="31" t="s">
        <v>1633</v>
      </c>
      <c r="G1682" s="140">
        <f t="shared" si="19"/>
        <v>24143804.85</v>
      </c>
      <c r="H1682" s="140">
        <v>26770635</v>
      </c>
    </row>
    <row r="1683" spans="1:8" ht="15">
      <c r="A1683" s="127" t="s">
        <v>1554</v>
      </c>
      <c r="B1683" s="127" t="s">
        <v>2034</v>
      </c>
      <c r="C1683" s="34"/>
      <c r="D1683" s="31" t="s">
        <v>1634</v>
      </c>
      <c r="G1683" s="140">
        <f t="shared" si="19"/>
        <v>111753136.72</v>
      </c>
      <c r="H1683" s="140">
        <v>73296316</v>
      </c>
    </row>
    <row r="1684" spans="1:8" ht="15">
      <c r="A1684" s="127" t="s">
        <v>1554</v>
      </c>
      <c r="B1684" s="127" t="s">
        <v>1052</v>
      </c>
      <c r="C1684" s="34"/>
      <c r="D1684" s="31" t="s">
        <v>1635</v>
      </c>
      <c r="G1684" s="140">
        <f t="shared" si="19"/>
        <v>535000</v>
      </c>
      <c r="H1684" s="140">
        <v>0</v>
      </c>
    </row>
    <row r="1685" spans="1:8" ht="15">
      <c r="A1685" s="127" t="s">
        <v>1316</v>
      </c>
      <c r="B1685" s="127" t="s">
        <v>1042</v>
      </c>
      <c r="C1685" s="34"/>
      <c r="D1685" s="31" t="s">
        <v>1317</v>
      </c>
      <c r="G1685" s="140">
        <f aca="true" t="shared" si="20" ref="G1685:G1695">G595</f>
        <v>32605341</v>
      </c>
      <c r="H1685" s="140">
        <v>38765258</v>
      </c>
    </row>
    <row r="1686" spans="1:8" ht="15">
      <c r="A1686" s="127" t="s">
        <v>1318</v>
      </c>
      <c r="B1686" s="127" t="s">
        <v>2023</v>
      </c>
      <c r="C1686" s="34"/>
      <c r="D1686" s="31" t="s">
        <v>1319</v>
      </c>
      <c r="G1686" s="140">
        <f t="shared" si="20"/>
        <v>161670760.22999993</v>
      </c>
      <c r="H1686" s="140">
        <v>98531381</v>
      </c>
    </row>
    <row r="1687" spans="1:8" ht="15">
      <c r="A1687" s="127" t="s">
        <v>1318</v>
      </c>
      <c r="B1687" s="127" t="s">
        <v>2044</v>
      </c>
      <c r="C1687" s="34"/>
      <c r="D1687" s="31" t="s">
        <v>1320</v>
      </c>
      <c r="G1687" s="140">
        <f t="shared" si="20"/>
        <v>262756513.1</v>
      </c>
      <c r="H1687" s="140">
        <v>209164892</v>
      </c>
    </row>
    <row r="1688" spans="1:8" ht="15">
      <c r="A1688" s="127" t="s">
        <v>1318</v>
      </c>
      <c r="B1688" s="127" t="s">
        <v>2018</v>
      </c>
      <c r="C1688" s="34"/>
      <c r="D1688" s="31" t="s">
        <v>1321</v>
      </c>
      <c r="G1688" s="140">
        <f t="shared" si="20"/>
        <v>590687175.22</v>
      </c>
      <c r="H1688" s="140">
        <v>1029137268</v>
      </c>
    </row>
    <row r="1689" spans="1:8" ht="15">
      <c r="A1689" s="127" t="s">
        <v>1318</v>
      </c>
      <c r="B1689" s="127" t="s">
        <v>1696</v>
      </c>
      <c r="C1689" s="34"/>
      <c r="D1689" s="31" t="s">
        <v>1322</v>
      </c>
      <c r="G1689" s="140">
        <f t="shared" si="20"/>
        <v>1112587895.8199997</v>
      </c>
      <c r="H1689" s="140">
        <v>550034855</v>
      </c>
    </row>
    <row r="1690" spans="1:8" ht="15">
      <c r="A1690" s="127" t="s">
        <v>1318</v>
      </c>
      <c r="B1690" s="127" t="s">
        <v>2032</v>
      </c>
      <c r="C1690" s="34"/>
      <c r="D1690" s="31" t="s">
        <v>1323</v>
      </c>
      <c r="G1690" s="140">
        <f t="shared" si="20"/>
        <v>147923945.51</v>
      </c>
      <c r="H1690" s="140">
        <f>124249935+12934157</f>
        <v>137184092</v>
      </c>
    </row>
    <row r="1691" spans="1:8" ht="15">
      <c r="A1691" s="127" t="s">
        <v>1589</v>
      </c>
      <c r="B1691" s="127" t="s">
        <v>2023</v>
      </c>
      <c r="C1691" s="34"/>
      <c r="D1691" s="31" t="s">
        <v>1590</v>
      </c>
      <c r="G1691" s="140">
        <f t="shared" si="20"/>
        <v>20490086.22</v>
      </c>
      <c r="H1691" s="140">
        <v>55889745</v>
      </c>
    </row>
    <row r="1692" spans="1:8" ht="15">
      <c r="A1692" s="127" t="s">
        <v>1589</v>
      </c>
      <c r="B1692" s="127" t="s">
        <v>2044</v>
      </c>
      <c r="C1692" s="34"/>
      <c r="D1692" s="31" t="s">
        <v>1591</v>
      </c>
      <c r="G1692" s="140">
        <f t="shared" si="20"/>
        <v>68140977.37</v>
      </c>
      <c r="H1692" s="140">
        <v>49693661</v>
      </c>
    </row>
    <row r="1693" spans="1:8" ht="15">
      <c r="A1693" s="127" t="s">
        <v>1589</v>
      </c>
      <c r="B1693" s="127" t="s">
        <v>2018</v>
      </c>
      <c r="C1693" s="34"/>
      <c r="D1693" s="31" t="s">
        <v>1592</v>
      </c>
      <c r="G1693" s="140">
        <f t="shared" si="20"/>
        <v>137047919.49999997</v>
      </c>
      <c r="H1693" s="140">
        <v>118788901</v>
      </c>
    </row>
    <row r="1694" spans="1:8" ht="15">
      <c r="A1694" s="127" t="s">
        <v>1589</v>
      </c>
      <c r="B1694" s="127" t="s">
        <v>1696</v>
      </c>
      <c r="C1694" s="34"/>
      <c r="D1694" s="31" t="s">
        <v>1593</v>
      </c>
      <c r="G1694" s="140">
        <f t="shared" si="20"/>
        <v>299915131.7800001</v>
      </c>
      <c r="H1694" s="140">
        <v>233257334</v>
      </c>
    </row>
    <row r="1695" spans="1:8" ht="15">
      <c r="A1695" s="127" t="s">
        <v>1589</v>
      </c>
      <c r="B1695" s="127" t="s">
        <v>2032</v>
      </c>
      <c r="C1695" s="34"/>
      <c r="D1695" s="31" t="s">
        <v>1594</v>
      </c>
      <c r="G1695" s="140">
        <f t="shared" si="20"/>
        <v>16309858.34</v>
      </c>
      <c r="H1695" s="140">
        <v>22546231</v>
      </c>
    </row>
    <row r="1696" spans="1:8" ht="15">
      <c r="A1696" s="127" t="s">
        <v>893</v>
      </c>
      <c r="B1696" s="127" t="s">
        <v>1696</v>
      </c>
      <c r="C1696" s="34"/>
      <c r="D1696" s="31" t="s">
        <v>549</v>
      </c>
      <c r="G1696" s="140">
        <f>G609</f>
        <v>0</v>
      </c>
      <c r="H1696" s="140">
        <v>0</v>
      </c>
    </row>
    <row r="1697" spans="1:8" ht="15">
      <c r="A1697" s="127" t="s">
        <v>893</v>
      </c>
      <c r="B1697" s="127" t="s">
        <v>1042</v>
      </c>
      <c r="C1697" s="31"/>
      <c r="D1697" s="31" t="s">
        <v>896</v>
      </c>
      <c r="G1697" s="140">
        <f>G610</f>
        <v>201692144.41</v>
      </c>
      <c r="H1697" s="140">
        <v>88767725</v>
      </c>
    </row>
    <row r="1698" spans="2:8" ht="15">
      <c r="B1698" s="31"/>
      <c r="C1698" s="73"/>
      <c r="G1698" s="140"/>
      <c r="H1698" s="140"/>
    </row>
    <row r="1699" spans="2:8" ht="15">
      <c r="B1699" s="31"/>
      <c r="C1699" s="77"/>
      <c r="D1699" s="81" t="s">
        <v>943</v>
      </c>
      <c r="E1699" s="8"/>
      <c r="F1699" s="8"/>
      <c r="G1699" s="149">
        <f>SUM(G1678:G1698)</f>
        <v>3437285701.0999994</v>
      </c>
      <c r="H1699" s="149">
        <f>SUM(H1678:H1698)</f>
        <v>2839223012</v>
      </c>
    </row>
    <row r="1700" spans="2:8" ht="15">
      <c r="B1700" s="31"/>
      <c r="C1700" s="73"/>
      <c r="G1700" s="140"/>
      <c r="H1700" s="140"/>
    </row>
    <row r="1701" spans="2:8" ht="15">
      <c r="B1701" s="31"/>
      <c r="C1701" s="73"/>
      <c r="G1701" s="140"/>
      <c r="H1701" s="140"/>
    </row>
    <row r="1702" spans="2:8" ht="15">
      <c r="B1702" s="31"/>
      <c r="C1702" s="73"/>
      <c r="D1702" s="8" t="s">
        <v>1908</v>
      </c>
      <c r="G1702" s="140"/>
      <c r="H1702" s="140"/>
    </row>
    <row r="1703" spans="2:8" ht="15">
      <c r="B1703" s="132"/>
      <c r="C1703" s="74">
        <v>306450</v>
      </c>
      <c r="D1703" s="75" t="s">
        <v>550</v>
      </c>
      <c r="G1703" s="140"/>
      <c r="H1703" s="140"/>
    </row>
    <row r="1704" spans="1:8" ht="15">
      <c r="A1704" s="127" t="s">
        <v>1158</v>
      </c>
      <c r="B1704" s="127" t="s">
        <v>1057</v>
      </c>
      <c r="C1704" s="34"/>
      <c r="D1704" s="31" t="s">
        <v>1058</v>
      </c>
      <c r="G1704" s="140">
        <f>G213</f>
        <v>8331958.550000001</v>
      </c>
      <c r="H1704" s="140">
        <v>15417369</v>
      </c>
    </row>
    <row r="1705" spans="1:8" ht="15">
      <c r="A1705" s="127" t="s">
        <v>1158</v>
      </c>
      <c r="B1705" s="127" t="s">
        <v>1059</v>
      </c>
      <c r="C1705" s="34"/>
      <c r="D1705" s="31" t="s">
        <v>1060</v>
      </c>
      <c r="G1705" s="140">
        <f>G214</f>
        <v>24874073.75</v>
      </c>
      <c r="H1705" s="140">
        <v>24250712</v>
      </c>
    </row>
    <row r="1706" spans="1:8" ht="15">
      <c r="A1706" s="127" t="s">
        <v>1158</v>
      </c>
      <c r="B1706" s="127" t="s">
        <v>1062</v>
      </c>
      <c r="C1706" s="34"/>
      <c r="D1706" s="31" t="s">
        <v>1063</v>
      </c>
      <c r="G1706" s="140">
        <f>G216</f>
        <v>6820739.899999999</v>
      </c>
      <c r="H1706" s="140">
        <v>0</v>
      </c>
    </row>
    <row r="1707" spans="1:8" ht="15">
      <c r="A1707" s="127" t="s">
        <v>780</v>
      </c>
      <c r="B1707" s="127" t="s">
        <v>1057</v>
      </c>
      <c r="C1707" s="34"/>
      <c r="D1707" s="31" t="s">
        <v>202</v>
      </c>
      <c r="G1707" s="140">
        <f>G244</f>
        <v>0</v>
      </c>
      <c r="H1707" s="140">
        <v>0</v>
      </c>
    </row>
    <row r="1708" spans="1:8" ht="15">
      <c r="A1708" s="127" t="s">
        <v>780</v>
      </c>
      <c r="B1708" s="127" t="s">
        <v>1059</v>
      </c>
      <c r="C1708" s="31"/>
      <c r="D1708" s="31" t="s">
        <v>203</v>
      </c>
      <c r="G1708" s="140">
        <f>G245</f>
        <v>15903049.200000003</v>
      </c>
      <c r="H1708" s="140">
        <v>14835404</v>
      </c>
    </row>
    <row r="1709" spans="1:8" ht="15">
      <c r="A1709" s="127" t="s">
        <v>780</v>
      </c>
      <c r="B1709" s="127" t="s">
        <v>1062</v>
      </c>
      <c r="C1709" s="34"/>
      <c r="D1709" s="31" t="s">
        <v>205</v>
      </c>
      <c r="G1709" s="140">
        <f>G247</f>
        <v>0</v>
      </c>
      <c r="H1709" s="140">
        <v>0</v>
      </c>
    </row>
    <row r="1710" spans="1:8" ht="15">
      <c r="A1710" s="127" t="s">
        <v>209</v>
      </c>
      <c r="B1710" s="127" t="s">
        <v>1057</v>
      </c>
      <c r="C1710" s="34"/>
      <c r="D1710" s="31" t="s">
        <v>1345</v>
      </c>
      <c r="G1710" s="140">
        <f>G275</f>
        <v>2387917.2</v>
      </c>
      <c r="H1710" s="140">
        <v>3272730</v>
      </c>
    </row>
    <row r="1711" spans="1:8" ht="15">
      <c r="A1711" s="127" t="s">
        <v>209</v>
      </c>
      <c r="B1711" s="127" t="s">
        <v>1059</v>
      </c>
      <c r="C1711" s="31"/>
      <c r="D1711" s="31" t="s">
        <v>1346</v>
      </c>
      <c r="G1711" s="140">
        <f>G276</f>
        <v>4679708.85</v>
      </c>
      <c r="H1711" s="140">
        <v>4282843</v>
      </c>
    </row>
    <row r="1712" spans="1:8" ht="15">
      <c r="A1712" s="127" t="s">
        <v>209</v>
      </c>
      <c r="B1712" s="127" t="s">
        <v>1062</v>
      </c>
      <c r="C1712" s="34"/>
      <c r="D1712" s="31" t="s">
        <v>1348</v>
      </c>
      <c r="G1712" s="140">
        <f>G278</f>
        <v>1023109.2</v>
      </c>
      <c r="H1712" s="140">
        <v>0</v>
      </c>
    </row>
    <row r="1713" spans="1:8" ht="15">
      <c r="A1713" s="127" t="s">
        <v>1354</v>
      </c>
      <c r="B1713" s="127" t="s">
        <v>1057</v>
      </c>
      <c r="C1713" s="34"/>
      <c r="D1713" s="31" t="s">
        <v>901</v>
      </c>
      <c r="G1713" s="140">
        <f>G307</f>
        <v>3332771.2</v>
      </c>
      <c r="H1713" s="140">
        <v>5660698</v>
      </c>
    </row>
    <row r="1714" spans="1:8" ht="15">
      <c r="A1714" s="127" t="s">
        <v>1354</v>
      </c>
      <c r="B1714" s="127" t="s">
        <v>1059</v>
      </c>
      <c r="C1714" s="31"/>
      <c r="D1714" s="31" t="s">
        <v>902</v>
      </c>
      <c r="G1714" s="140">
        <f>G308</f>
        <v>0</v>
      </c>
      <c r="H1714" s="140">
        <v>0</v>
      </c>
    </row>
    <row r="1715" spans="1:8" ht="15">
      <c r="A1715" s="127" t="s">
        <v>1354</v>
      </c>
      <c r="B1715" s="127" t="s">
        <v>1062</v>
      </c>
      <c r="C1715" s="34"/>
      <c r="D1715" s="31" t="s">
        <v>904</v>
      </c>
      <c r="G1715" s="140">
        <f>G310</f>
        <v>2728291.2</v>
      </c>
      <c r="H1715" s="140">
        <v>0</v>
      </c>
    </row>
    <row r="1716" spans="1:8" ht="15">
      <c r="A1716" s="127" t="s">
        <v>910</v>
      </c>
      <c r="B1716" s="127" t="s">
        <v>1057</v>
      </c>
      <c r="C1716" s="34"/>
      <c r="D1716" s="31" t="s">
        <v>983</v>
      </c>
      <c r="G1716" s="140">
        <f>G339</f>
        <v>1697508.75</v>
      </c>
      <c r="H1716" s="140">
        <v>2312406</v>
      </c>
    </row>
    <row r="1717" spans="1:8" ht="15">
      <c r="A1717" s="127" t="s">
        <v>910</v>
      </c>
      <c r="B1717" s="127" t="s">
        <v>1059</v>
      </c>
      <c r="C1717" s="31"/>
      <c r="D1717" s="31" t="s">
        <v>984</v>
      </c>
      <c r="G1717" s="140">
        <f>G340</f>
        <v>2807846</v>
      </c>
      <c r="H1717" s="140">
        <v>2833439</v>
      </c>
    </row>
    <row r="1718" spans="1:8" ht="15">
      <c r="A1718" s="127" t="s">
        <v>910</v>
      </c>
      <c r="B1718" s="127" t="s">
        <v>1062</v>
      </c>
      <c r="C1718" s="34"/>
      <c r="D1718" s="31" t="s">
        <v>986</v>
      </c>
      <c r="G1718" s="140">
        <f>G342</f>
        <v>932963.25</v>
      </c>
      <c r="H1718" s="140">
        <v>0</v>
      </c>
    </row>
    <row r="1719" spans="1:8" ht="15">
      <c r="A1719" s="127" t="s">
        <v>144</v>
      </c>
      <c r="B1719" s="127" t="s">
        <v>1057</v>
      </c>
      <c r="C1719" s="34"/>
      <c r="D1719" s="31" t="s">
        <v>828</v>
      </c>
      <c r="G1719" s="140">
        <f>G401</f>
        <v>4322500</v>
      </c>
      <c r="H1719" s="140">
        <v>9627055</v>
      </c>
    </row>
    <row r="1720" spans="1:8" ht="15">
      <c r="A1720" s="127" t="s">
        <v>144</v>
      </c>
      <c r="B1720" s="127" t="s">
        <v>1059</v>
      </c>
      <c r="C1720" s="34"/>
      <c r="D1720" s="31" t="s">
        <v>829</v>
      </c>
      <c r="G1720" s="140">
        <f>G402</f>
        <v>2666754.27</v>
      </c>
      <c r="H1720" s="140">
        <v>8902292</v>
      </c>
    </row>
    <row r="1721" spans="1:8" ht="15">
      <c r="A1721" s="127" t="s">
        <v>144</v>
      </c>
      <c r="B1721" s="127" t="s">
        <v>1062</v>
      </c>
      <c r="C1721" s="34"/>
      <c r="D1721" s="31" t="s">
        <v>831</v>
      </c>
      <c r="G1721" s="140">
        <f>G404</f>
        <v>1200000</v>
      </c>
      <c r="H1721" s="140">
        <v>0</v>
      </c>
    </row>
    <row r="1722" spans="1:8" ht="15">
      <c r="A1722" s="127" t="s">
        <v>990</v>
      </c>
      <c r="B1722" s="127" t="s">
        <v>1057</v>
      </c>
      <c r="C1722" s="31"/>
      <c r="D1722" s="31" t="s">
        <v>1390</v>
      </c>
      <c r="G1722" s="140">
        <f>G365</f>
        <v>850868.73</v>
      </c>
      <c r="H1722" s="140"/>
    </row>
    <row r="1723" spans="1:8" ht="15">
      <c r="A1723" s="127" t="s">
        <v>990</v>
      </c>
      <c r="B1723" s="127" t="s">
        <v>1059</v>
      </c>
      <c r="C1723" s="31"/>
      <c r="D1723" s="31" t="s">
        <v>1391</v>
      </c>
      <c r="G1723" s="140">
        <f>G366</f>
        <v>2552606.11</v>
      </c>
      <c r="H1723" s="140"/>
    </row>
    <row r="1724" spans="1:8" ht="15">
      <c r="A1724" s="127"/>
      <c r="B1724" s="127"/>
      <c r="C1724" s="31"/>
      <c r="D1724" s="31"/>
      <c r="G1724" s="140"/>
      <c r="H1724" s="140"/>
    </row>
    <row r="1725" spans="2:8" ht="15">
      <c r="B1725" s="31"/>
      <c r="C1725" s="73"/>
      <c r="G1725" s="140"/>
      <c r="H1725" s="140"/>
    </row>
    <row r="1726" spans="2:8" ht="15">
      <c r="B1726" s="31"/>
      <c r="C1726" s="77"/>
      <c r="D1726" s="81" t="s">
        <v>943</v>
      </c>
      <c r="E1726" s="81"/>
      <c r="F1726" s="8"/>
      <c r="G1726" s="149">
        <f>SUM(G1704:G1725)</f>
        <v>87112666.16000001</v>
      </c>
      <c r="H1726" s="149">
        <f>SUM(H1704:H1725)</f>
        <v>91394948</v>
      </c>
    </row>
    <row r="1727" spans="2:8" ht="15">
      <c r="B1727" s="31"/>
      <c r="C1727" s="77"/>
      <c r="D1727" s="8"/>
      <c r="E1727" s="8"/>
      <c r="F1727" s="8"/>
      <c r="G1727" s="147"/>
      <c r="H1727" s="140"/>
    </row>
    <row r="1728" spans="2:8" ht="15">
      <c r="B1728" s="132"/>
      <c r="C1728" s="74">
        <v>306530</v>
      </c>
      <c r="D1728" s="75" t="s">
        <v>1505</v>
      </c>
      <c r="G1728" s="140"/>
      <c r="H1728" s="140"/>
    </row>
    <row r="1729" spans="2:8" ht="15">
      <c r="B1729" s="132"/>
      <c r="C1729" s="74"/>
      <c r="G1729" s="140"/>
      <c r="H1729" s="140"/>
    </row>
    <row r="1730" spans="2:8" ht="15">
      <c r="B1730" s="132"/>
      <c r="C1730" s="74"/>
      <c r="G1730" s="140"/>
      <c r="H1730" s="140"/>
    </row>
    <row r="1731" spans="2:8" ht="15">
      <c r="B1731" s="31"/>
      <c r="C1731" s="73"/>
      <c r="G1731" s="140"/>
      <c r="H1731" s="140"/>
    </row>
    <row r="1732" spans="2:8" ht="15">
      <c r="B1732" s="31"/>
      <c r="C1732" s="136"/>
      <c r="D1732" s="81" t="s">
        <v>943</v>
      </c>
      <c r="E1732" s="81"/>
      <c r="F1732" s="81"/>
      <c r="G1732" s="149"/>
      <c r="H1732" s="149"/>
    </row>
    <row r="1733" spans="2:8" ht="15">
      <c r="B1733" s="31"/>
      <c r="C1733" s="73"/>
      <c r="G1733" s="140"/>
      <c r="H1733" s="140"/>
    </row>
    <row r="1734" spans="2:8" ht="15">
      <c r="B1734" s="132"/>
      <c r="C1734" s="74">
        <v>306580</v>
      </c>
      <c r="D1734" s="75" t="s">
        <v>551</v>
      </c>
      <c r="G1734" s="140"/>
      <c r="H1734" s="140"/>
    </row>
    <row r="1735" spans="1:8" ht="15">
      <c r="A1735" s="127" t="s">
        <v>474</v>
      </c>
      <c r="B1735" s="127" t="s">
        <v>1062</v>
      </c>
      <c r="C1735" s="34"/>
      <c r="D1735" s="31" t="s">
        <v>475</v>
      </c>
      <c r="G1735" s="140">
        <f>G533</f>
        <v>1634400</v>
      </c>
      <c r="H1735" s="140">
        <v>5010400</v>
      </c>
    </row>
    <row r="1736" spans="1:8" ht="15">
      <c r="A1736" s="127" t="s">
        <v>476</v>
      </c>
      <c r="B1736" s="127" t="s">
        <v>1057</v>
      </c>
      <c r="C1736" s="34"/>
      <c r="D1736" s="31" t="s">
        <v>481</v>
      </c>
      <c r="G1736" s="140">
        <f>G536</f>
        <v>26429476</v>
      </c>
      <c r="H1736" s="140">
        <v>7682810</v>
      </c>
    </row>
    <row r="1737" spans="1:8" ht="15">
      <c r="A1737" s="127" t="s">
        <v>480</v>
      </c>
      <c r="B1737" s="127" t="s">
        <v>1057</v>
      </c>
      <c r="C1737" s="31"/>
      <c r="D1737" s="31" t="s">
        <v>483</v>
      </c>
      <c r="G1737" s="140">
        <f>G537</f>
        <v>499090606</v>
      </c>
      <c r="H1737" s="140">
        <v>515366082</v>
      </c>
    </row>
    <row r="1738" spans="1:8" ht="15">
      <c r="A1738" s="127" t="s">
        <v>708</v>
      </c>
      <c r="B1738" s="127" t="s">
        <v>1057</v>
      </c>
      <c r="C1738" s="34"/>
      <c r="D1738" s="31" t="s">
        <v>711</v>
      </c>
      <c r="G1738" s="140">
        <f>G548</f>
        <v>36000</v>
      </c>
      <c r="H1738" s="140">
        <v>838000</v>
      </c>
    </row>
    <row r="1739" spans="1:3" ht="15">
      <c r="A1739" s="127"/>
      <c r="B1739" s="127"/>
      <c r="C1739" s="34"/>
    </row>
    <row r="1740" spans="3:8" ht="15">
      <c r="C1740" s="81"/>
      <c r="D1740" s="81" t="s">
        <v>943</v>
      </c>
      <c r="E1740" s="81"/>
      <c r="F1740" s="81"/>
      <c r="G1740" s="149">
        <f>SUM(G1735:G1738)</f>
        <v>527190482</v>
      </c>
      <c r="H1740" s="149">
        <f>SUM(H1735:H1738)</f>
        <v>528897292</v>
      </c>
    </row>
    <row r="1741" spans="7:8" ht="15">
      <c r="G1741" s="140"/>
      <c r="H1741" s="140"/>
    </row>
    <row r="1742" spans="2:8" ht="15">
      <c r="B1742" s="31"/>
      <c r="C1742" s="73"/>
      <c r="D1742" s="75"/>
      <c r="E1742" s="75"/>
      <c r="G1742" s="144"/>
      <c r="H1742" s="140"/>
    </row>
    <row r="1743" spans="2:8" ht="15">
      <c r="B1743" s="132"/>
      <c r="C1743" s="74">
        <v>306710</v>
      </c>
      <c r="D1743" s="75" t="s">
        <v>552</v>
      </c>
      <c r="E1743" s="75"/>
      <c r="G1743" s="144"/>
      <c r="H1743" s="140"/>
    </row>
    <row r="1744" spans="1:8" ht="15">
      <c r="A1744" s="127" t="s">
        <v>1238</v>
      </c>
      <c r="B1744" s="127" t="s">
        <v>1057</v>
      </c>
      <c r="C1744" s="34"/>
      <c r="D1744" s="31" t="s">
        <v>1239</v>
      </c>
      <c r="E1744" s="75"/>
      <c r="G1744" s="144">
        <f>G566</f>
        <v>238775127</v>
      </c>
      <c r="H1744" s="140">
        <v>207268393</v>
      </c>
    </row>
    <row r="1745" spans="1:8" ht="15">
      <c r="A1745" s="127" t="s">
        <v>1240</v>
      </c>
      <c r="B1745" s="127" t="s">
        <v>1241</v>
      </c>
      <c r="C1745" s="31"/>
      <c r="D1745" s="31" t="s">
        <v>1242</v>
      </c>
      <c r="E1745" s="75"/>
      <c r="G1745" s="144">
        <f>G567</f>
        <v>0</v>
      </c>
      <c r="H1745" s="140">
        <v>0</v>
      </c>
    </row>
    <row r="1746" spans="2:8" ht="15">
      <c r="B1746" s="31"/>
      <c r="C1746" s="136"/>
      <c r="D1746" s="81" t="s">
        <v>943</v>
      </c>
      <c r="E1746" s="81"/>
      <c r="F1746" s="81"/>
      <c r="G1746" s="149">
        <f>SUM(G1744:G1745)</f>
        <v>238775127</v>
      </c>
      <c r="H1746" s="149">
        <f>SUM(H1744:H1745)</f>
        <v>207268393</v>
      </c>
    </row>
    <row r="1747" spans="2:8" ht="15">
      <c r="B1747" s="31"/>
      <c r="C1747" s="73"/>
      <c r="G1747" s="140"/>
      <c r="H1747" s="140"/>
    </row>
    <row r="1748" spans="2:8" ht="15">
      <c r="B1748" s="132"/>
      <c r="C1748" s="74">
        <v>306750</v>
      </c>
      <c r="D1748" s="152" t="s">
        <v>1510</v>
      </c>
      <c r="G1748" s="140"/>
      <c r="H1748" s="140"/>
    </row>
    <row r="1749" spans="1:8" ht="15">
      <c r="A1749" s="127" t="s">
        <v>835</v>
      </c>
      <c r="B1749" s="127" t="s">
        <v>1059</v>
      </c>
      <c r="C1749" s="34"/>
      <c r="D1749" s="31" t="s">
        <v>1393</v>
      </c>
      <c r="G1749" s="140">
        <f>G409</f>
        <v>0</v>
      </c>
      <c r="H1749" s="140">
        <v>0</v>
      </c>
    </row>
    <row r="1750" spans="1:8" ht="15">
      <c r="A1750" s="127" t="s">
        <v>1398</v>
      </c>
      <c r="B1750" s="127" t="s">
        <v>1057</v>
      </c>
      <c r="C1750" s="31"/>
      <c r="D1750" s="31" t="s">
        <v>845</v>
      </c>
      <c r="G1750" s="140">
        <f>G422</f>
        <v>11567662</v>
      </c>
      <c r="H1750" s="140">
        <v>62327198</v>
      </c>
    </row>
    <row r="1751" spans="1:8" ht="15">
      <c r="A1751" s="127" t="s">
        <v>863</v>
      </c>
      <c r="B1751" s="127" t="s">
        <v>1057</v>
      </c>
      <c r="C1751" s="34"/>
      <c r="D1751" s="31" t="s">
        <v>1228</v>
      </c>
      <c r="E1751" s="31"/>
      <c r="G1751" s="140">
        <f>G462</f>
        <v>525464.07</v>
      </c>
      <c r="H1751" s="140">
        <v>318430</v>
      </c>
    </row>
    <row r="1752" spans="1:8" ht="15">
      <c r="A1752" s="127" t="s">
        <v>863</v>
      </c>
      <c r="B1752" s="127" t="s">
        <v>1059</v>
      </c>
      <c r="C1752" s="34"/>
      <c r="D1752" s="31" t="s">
        <v>1229</v>
      </c>
      <c r="G1752" s="140">
        <f>G463</f>
        <v>9993419.13</v>
      </c>
      <c r="H1752" s="140">
        <v>4912123</v>
      </c>
    </row>
    <row r="1753" spans="1:8" ht="15">
      <c r="A1753" s="127" t="s">
        <v>863</v>
      </c>
      <c r="B1753" s="127" t="s">
        <v>1062</v>
      </c>
      <c r="C1753" s="34"/>
      <c r="D1753" s="31" t="s">
        <v>1231</v>
      </c>
      <c r="G1753" s="140">
        <f>G465</f>
        <v>28000</v>
      </c>
      <c r="H1753" s="140">
        <v>0</v>
      </c>
    </row>
    <row r="1754" spans="1:8" ht="15">
      <c r="A1754" s="127" t="s">
        <v>947</v>
      </c>
      <c r="B1754" s="127" t="s">
        <v>1057</v>
      </c>
      <c r="C1754" s="34"/>
      <c r="D1754" s="31" t="s">
        <v>635</v>
      </c>
      <c r="G1754" s="140">
        <f>G494</f>
        <v>4792542.83</v>
      </c>
      <c r="H1754" s="140">
        <v>4603242</v>
      </c>
    </row>
    <row r="1755" spans="1:8" ht="15">
      <c r="A1755" s="127" t="s">
        <v>947</v>
      </c>
      <c r="B1755" s="127" t="s">
        <v>1059</v>
      </c>
      <c r="C1755" s="34"/>
      <c r="D1755" s="31" t="s">
        <v>636</v>
      </c>
      <c r="G1755" s="140">
        <f>G495</f>
        <v>3983055.14</v>
      </c>
      <c r="H1755" s="140">
        <v>6271740</v>
      </c>
    </row>
    <row r="1756" spans="1:8" ht="15">
      <c r="A1756" s="127" t="s">
        <v>947</v>
      </c>
      <c r="B1756" s="127" t="s">
        <v>1062</v>
      </c>
      <c r="C1756" s="34"/>
      <c r="D1756" s="31" t="s">
        <v>638</v>
      </c>
      <c r="G1756" s="140">
        <f>G497</f>
        <v>0</v>
      </c>
      <c r="H1756" s="140">
        <v>0</v>
      </c>
    </row>
    <row r="1757" spans="1:8" ht="15">
      <c r="A1757" s="127" t="s">
        <v>22</v>
      </c>
      <c r="B1757" s="127" t="s">
        <v>1057</v>
      </c>
      <c r="C1757" s="34"/>
      <c r="D1757" s="31" t="s">
        <v>175</v>
      </c>
      <c r="G1757" s="140">
        <f>G525</f>
        <v>8223678.589999999</v>
      </c>
      <c r="H1757" s="144">
        <v>8695869</v>
      </c>
    </row>
    <row r="1758" spans="1:8" ht="15">
      <c r="A1758" s="127" t="s">
        <v>22</v>
      </c>
      <c r="B1758" s="127" t="s">
        <v>1059</v>
      </c>
      <c r="C1758" s="34"/>
      <c r="D1758" s="31" t="s">
        <v>176</v>
      </c>
      <c r="G1758" s="140">
        <f>G526</f>
        <v>0</v>
      </c>
      <c r="H1758" s="144"/>
    </row>
    <row r="1759" spans="1:8" ht="15">
      <c r="A1759" s="127" t="s">
        <v>22</v>
      </c>
      <c r="B1759" s="127" t="s">
        <v>1062</v>
      </c>
      <c r="C1759" s="34"/>
      <c r="D1759" s="31" t="s">
        <v>178</v>
      </c>
      <c r="G1759" s="140">
        <f>G528</f>
        <v>0</v>
      </c>
      <c r="H1759" s="144"/>
    </row>
    <row r="1760" spans="1:8" ht="15">
      <c r="A1760" s="127" t="s">
        <v>590</v>
      </c>
      <c r="B1760" s="127" t="s">
        <v>1057</v>
      </c>
      <c r="C1760" s="34"/>
      <c r="D1760" s="31" t="s">
        <v>592</v>
      </c>
      <c r="G1760" s="140">
        <f>G559</f>
        <v>262933</v>
      </c>
      <c r="H1760" s="144">
        <v>817820</v>
      </c>
    </row>
    <row r="1761" spans="1:8" ht="15">
      <c r="A1761" s="127" t="s">
        <v>1554</v>
      </c>
      <c r="B1761" s="127" t="s">
        <v>1057</v>
      </c>
      <c r="C1761" s="34"/>
      <c r="D1761" s="31" t="s">
        <v>1636</v>
      </c>
      <c r="G1761" s="140">
        <f>G590</f>
        <v>454000</v>
      </c>
      <c r="H1761" s="144">
        <v>528700</v>
      </c>
    </row>
    <row r="1762" spans="1:8" ht="15">
      <c r="A1762" s="127" t="s">
        <v>1554</v>
      </c>
      <c r="B1762" s="127" t="s">
        <v>1059</v>
      </c>
      <c r="C1762" s="34"/>
      <c r="D1762" s="31" t="s">
        <v>1637</v>
      </c>
      <c r="G1762" s="140">
        <f>G591</f>
        <v>1231004.45</v>
      </c>
      <c r="H1762" s="144">
        <v>455261</v>
      </c>
    </row>
    <row r="1763" spans="2:8" ht="15">
      <c r="B1763" s="31"/>
      <c r="C1763" s="136"/>
      <c r="D1763" s="81" t="s">
        <v>943</v>
      </c>
      <c r="E1763" s="81"/>
      <c r="F1763" s="81"/>
      <c r="G1763" s="149">
        <f>SUM(G1749:G1762)</f>
        <v>41061759.21</v>
      </c>
      <c r="H1763" s="149">
        <f>SUM(H1749:H1762)</f>
        <v>88930383</v>
      </c>
    </row>
    <row r="1764" spans="7:8" ht="15">
      <c r="G1764" s="140"/>
      <c r="H1764" s="140"/>
    </row>
    <row r="1765" spans="2:8" ht="15">
      <c r="B1765" s="31"/>
      <c r="C1765" s="73"/>
      <c r="G1765" s="140"/>
      <c r="H1765" s="140"/>
    </row>
    <row r="1766" spans="2:8" ht="15">
      <c r="B1766" s="31"/>
      <c r="C1766" s="73"/>
      <c r="D1766" s="8" t="s">
        <v>553</v>
      </c>
      <c r="G1766" s="140"/>
      <c r="H1766" s="140"/>
    </row>
    <row r="1767" spans="2:8" ht="15">
      <c r="B1767" s="132"/>
      <c r="C1767" s="74">
        <v>307340</v>
      </c>
      <c r="D1767" s="75" t="s">
        <v>554</v>
      </c>
      <c r="G1767" s="140"/>
      <c r="H1767" s="140"/>
    </row>
    <row r="1768" spans="1:8" ht="15">
      <c r="A1768" s="127" t="s">
        <v>1247</v>
      </c>
      <c r="B1768" s="127" t="s">
        <v>778</v>
      </c>
      <c r="C1768" s="34"/>
      <c r="D1768" s="31" t="s">
        <v>1250</v>
      </c>
      <c r="G1768" s="140">
        <f>G572</f>
        <v>45096189.66</v>
      </c>
      <c r="H1768" s="140">
        <v>34647246</v>
      </c>
    </row>
    <row r="1769" spans="1:8" ht="15">
      <c r="A1769" s="127" t="s">
        <v>1251</v>
      </c>
      <c r="B1769" s="127" t="s">
        <v>778</v>
      </c>
      <c r="C1769" s="34"/>
      <c r="D1769" s="31" t="s">
        <v>1252</v>
      </c>
      <c r="G1769" s="140">
        <f>G573</f>
        <v>4078032</v>
      </c>
      <c r="H1769" s="140">
        <v>10829214</v>
      </c>
    </row>
    <row r="1770" spans="1:8" ht="15">
      <c r="A1770" s="127" t="s">
        <v>1253</v>
      </c>
      <c r="B1770" s="127" t="s">
        <v>778</v>
      </c>
      <c r="C1770" s="34"/>
      <c r="D1770" s="31" t="s">
        <v>1254</v>
      </c>
      <c r="G1770" s="140">
        <f>G574</f>
        <v>1225</v>
      </c>
      <c r="H1770" s="140">
        <v>32722</v>
      </c>
    </row>
    <row r="1771" spans="1:8" ht="15">
      <c r="A1771" s="127" t="s">
        <v>1255</v>
      </c>
      <c r="B1771" s="127" t="s">
        <v>1167</v>
      </c>
      <c r="C1771" s="34"/>
      <c r="D1771" s="31" t="s">
        <v>1549</v>
      </c>
      <c r="G1771" s="140">
        <f>G575</f>
        <v>36148135</v>
      </c>
      <c r="H1771" s="140">
        <v>35754428</v>
      </c>
    </row>
    <row r="1772" spans="1:8" ht="15">
      <c r="A1772" s="127" t="s">
        <v>1550</v>
      </c>
      <c r="B1772" s="127" t="s">
        <v>1167</v>
      </c>
      <c r="C1772" s="34"/>
      <c r="D1772" s="31" t="s">
        <v>1551</v>
      </c>
      <c r="G1772" s="140">
        <f>G576</f>
        <v>8877811</v>
      </c>
      <c r="H1772" s="140">
        <v>4620060</v>
      </c>
    </row>
    <row r="1773" spans="2:8" ht="15">
      <c r="B1773" s="31"/>
      <c r="C1773" s="136"/>
      <c r="D1773" s="81" t="s">
        <v>943</v>
      </c>
      <c r="E1773" s="81"/>
      <c r="F1773" s="81"/>
      <c r="G1773" s="149">
        <f>SUM(G1768:G1772)</f>
        <v>94201392.66</v>
      </c>
      <c r="H1773" s="149">
        <f>SUM(H1768:H1772)</f>
        <v>85883670</v>
      </c>
    </row>
    <row r="1774" spans="2:8" ht="15">
      <c r="B1774" s="31"/>
      <c r="C1774" s="73"/>
      <c r="G1774" s="140"/>
      <c r="H1774" s="140"/>
    </row>
    <row r="1775" spans="2:8" ht="15">
      <c r="B1775" s="132"/>
      <c r="C1775" s="74">
        <v>307450</v>
      </c>
      <c r="D1775" s="75" t="s">
        <v>555</v>
      </c>
      <c r="G1775" s="140"/>
      <c r="H1775" s="140"/>
    </row>
    <row r="1776" spans="1:8" ht="15">
      <c r="A1776" s="127" t="s">
        <v>1158</v>
      </c>
      <c r="B1776" s="127" t="s">
        <v>1159</v>
      </c>
      <c r="C1776" s="31"/>
      <c r="D1776" s="31" t="s">
        <v>1160</v>
      </c>
      <c r="G1776" s="140">
        <f aca="true" t="shared" si="21" ref="G1776:G1783">G189</f>
        <v>59378912.45</v>
      </c>
      <c r="H1776" s="140">
        <v>51800623</v>
      </c>
    </row>
    <row r="1777" spans="1:8" ht="15">
      <c r="A1777" s="127" t="s">
        <v>1158</v>
      </c>
      <c r="B1777" s="127" t="s">
        <v>1161</v>
      </c>
      <c r="C1777" s="31"/>
      <c r="D1777" s="31" t="s">
        <v>1162</v>
      </c>
      <c r="G1777" s="140">
        <f t="shared" si="21"/>
        <v>11794477.9</v>
      </c>
      <c r="H1777" s="140">
        <v>74274434</v>
      </c>
    </row>
    <row r="1778" spans="1:8" ht="15">
      <c r="A1778" s="127" t="s">
        <v>1158</v>
      </c>
      <c r="B1778" s="127" t="s">
        <v>1163</v>
      </c>
      <c r="C1778" s="31"/>
      <c r="D1778" s="31" t="s">
        <v>1164</v>
      </c>
      <c r="G1778" s="140">
        <f t="shared" si="21"/>
        <v>28323111.450000003</v>
      </c>
      <c r="H1778" s="140">
        <v>0</v>
      </c>
    </row>
    <row r="1779" spans="1:8" ht="15">
      <c r="A1779" s="127" t="s">
        <v>1158</v>
      </c>
      <c r="B1779" s="127" t="s">
        <v>1165</v>
      </c>
      <c r="C1779" s="31"/>
      <c r="D1779" s="31" t="s">
        <v>1166</v>
      </c>
      <c r="G1779" s="140">
        <f t="shared" si="21"/>
        <v>35293114.650000006</v>
      </c>
      <c r="H1779" s="140">
        <v>0</v>
      </c>
    </row>
    <row r="1780" spans="1:8" ht="15">
      <c r="A1780" s="127" t="s">
        <v>1158</v>
      </c>
      <c r="B1780" s="127" t="s">
        <v>1167</v>
      </c>
      <c r="C1780" s="31"/>
      <c r="D1780" s="31" t="s">
        <v>1168</v>
      </c>
      <c r="G1780" s="140">
        <f t="shared" si="21"/>
        <v>0</v>
      </c>
      <c r="H1780" s="140">
        <v>50211057</v>
      </c>
    </row>
    <row r="1781" spans="1:8" ht="15">
      <c r="A1781" s="127" t="s">
        <v>1158</v>
      </c>
      <c r="B1781" s="127" t="s">
        <v>1169</v>
      </c>
      <c r="C1781" s="31"/>
      <c r="D1781" s="31" t="s">
        <v>0</v>
      </c>
      <c r="G1781" s="140">
        <f t="shared" si="21"/>
        <v>23088847.950000003</v>
      </c>
      <c r="H1781" s="140">
        <v>0</v>
      </c>
    </row>
    <row r="1782" spans="1:8" ht="15">
      <c r="A1782" s="127" t="s">
        <v>1158</v>
      </c>
      <c r="B1782" s="127" t="s">
        <v>1</v>
      </c>
      <c r="C1782" s="34"/>
      <c r="D1782" s="31" t="s">
        <v>727</v>
      </c>
      <c r="G1782" s="140">
        <f t="shared" si="21"/>
        <v>23679261.7</v>
      </c>
      <c r="H1782" s="140">
        <v>0</v>
      </c>
    </row>
    <row r="1783" spans="1:8" ht="15">
      <c r="A1783" s="127" t="s">
        <v>1158</v>
      </c>
      <c r="B1783" s="127" t="s">
        <v>728</v>
      </c>
      <c r="C1783" s="34"/>
      <c r="D1783" s="31" t="s">
        <v>729</v>
      </c>
      <c r="G1783" s="140">
        <f t="shared" si="21"/>
        <v>6820757.399999999</v>
      </c>
      <c r="H1783" s="140">
        <v>0</v>
      </c>
    </row>
    <row r="1784" spans="1:8" ht="15">
      <c r="A1784" s="127" t="s">
        <v>1158</v>
      </c>
      <c r="B1784" s="127" t="s">
        <v>1064</v>
      </c>
      <c r="C1784" s="34"/>
      <c r="D1784" s="31" t="s">
        <v>1065</v>
      </c>
      <c r="G1784" s="140">
        <f aca="true" t="shared" si="22" ref="G1784:G1794">G217</f>
        <v>29027831.25</v>
      </c>
      <c r="H1784" s="140">
        <v>48679169</v>
      </c>
    </row>
    <row r="1785" spans="1:8" ht="15">
      <c r="A1785" s="127" t="s">
        <v>1158</v>
      </c>
      <c r="B1785" s="127" t="s">
        <v>1066</v>
      </c>
      <c r="C1785" s="31"/>
      <c r="D1785" s="31" t="s">
        <v>1067</v>
      </c>
      <c r="G1785" s="140">
        <f t="shared" si="22"/>
        <v>20664111.05</v>
      </c>
      <c r="H1785" s="140">
        <v>0</v>
      </c>
    </row>
    <row r="1786" spans="1:8" ht="15">
      <c r="A1786" s="127" t="s">
        <v>1158</v>
      </c>
      <c r="B1786" s="127" t="s">
        <v>778</v>
      </c>
      <c r="C1786" s="34"/>
      <c r="D1786" s="31" t="s">
        <v>779</v>
      </c>
      <c r="G1786" s="140">
        <f t="shared" si="22"/>
        <v>17144710.799999997</v>
      </c>
      <c r="H1786" s="140">
        <v>26246958</v>
      </c>
    </row>
    <row r="1787" spans="1:8" ht="15">
      <c r="A1787" s="127" t="s">
        <v>780</v>
      </c>
      <c r="B1787" s="127" t="s">
        <v>1159</v>
      </c>
      <c r="C1787" s="31"/>
      <c r="D1787" s="31" t="s">
        <v>781</v>
      </c>
      <c r="G1787" s="140">
        <f t="shared" si="22"/>
        <v>49469.2</v>
      </c>
      <c r="H1787" s="140">
        <v>665477</v>
      </c>
    </row>
    <row r="1788" spans="1:8" ht="15">
      <c r="A1788" s="127" t="s">
        <v>780</v>
      </c>
      <c r="B1788" s="127" t="s">
        <v>1161</v>
      </c>
      <c r="C1788" s="34"/>
      <c r="D1788" s="31" t="s">
        <v>782</v>
      </c>
      <c r="G1788" s="140">
        <f t="shared" si="22"/>
        <v>0</v>
      </c>
      <c r="H1788" s="144">
        <v>29634752</v>
      </c>
    </row>
    <row r="1789" spans="1:8" ht="15">
      <c r="A1789" s="127" t="s">
        <v>780</v>
      </c>
      <c r="B1789" s="127" t="s">
        <v>1163</v>
      </c>
      <c r="C1789" s="34"/>
      <c r="D1789" s="31" t="s">
        <v>783</v>
      </c>
      <c r="G1789" s="140">
        <f t="shared" si="22"/>
        <v>17693470.650000002</v>
      </c>
      <c r="H1789" s="140">
        <v>0</v>
      </c>
    </row>
    <row r="1790" spans="1:8" ht="15">
      <c r="A1790" s="127" t="s">
        <v>780</v>
      </c>
      <c r="B1790" s="127" t="s">
        <v>1165</v>
      </c>
      <c r="C1790" s="34"/>
      <c r="D1790" s="31" t="s">
        <v>784</v>
      </c>
      <c r="G1790" s="140">
        <f t="shared" si="22"/>
        <v>13090721.149999999</v>
      </c>
      <c r="H1790" s="140">
        <v>0</v>
      </c>
    </row>
    <row r="1791" spans="1:8" ht="15">
      <c r="A1791" s="127" t="s">
        <v>780</v>
      </c>
      <c r="B1791" s="127" t="s">
        <v>1167</v>
      </c>
      <c r="C1791" s="31"/>
      <c r="D1791" s="31" t="s">
        <v>785</v>
      </c>
      <c r="G1791" s="140">
        <f t="shared" si="22"/>
        <v>0</v>
      </c>
      <c r="H1791" s="140">
        <v>1926945</v>
      </c>
    </row>
    <row r="1792" spans="1:8" ht="15">
      <c r="A1792" s="127" t="s">
        <v>780</v>
      </c>
      <c r="B1792" s="127" t="s">
        <v>1169</v>
      </c>
      <c r="C1792" s="34"/>
      <c r="D1792" s="31" t="s">
        <v>786</v>
      </c>
      <c r="G1792" s="140">
        <f t="shared" si="22"/>
        <v>1453127.85</v>
      </c>
      <c r="H1792" s="140">
        <v>0</v>
      </c>
    </row>
    <row r="1793" spans="1:8" ht="15">
      <c r="A1793" s="127" t="s">
        <v>780</v>
      </c>
      <c r="B1793" s="127" t="s">
        <v>1</v>
      </c>
      <c r="C1793" s="34"/>
      <c r="D1793" s="31" t="s">
        <v>787</v>
      </c>
      <c r="G1793" s="140">
        <f t="shared" si="22"/>
        <v>2212717</v>
      </c>
      <c r="H1793" s="140">
        <v>0</v>
      </c>
    </row>
    <row r="1794" spans="1:8" ht="15">
      <c r="A1794" s="127" t="s">
        <v>780</v>
      </c>
      <c r="B1794" s="127" t="s">
        <v>728</v>
      </c>
      <c r="C1794" s="34"/>
      <c r="D1794" s="31" t="s">
        <v>788</v>
      </c>
      <c r="G1794" s="140">
        <f t="shared" si="22"/>
        <v>0</v>
      </c>
      <c r="H1794" s="140">
        <v>0</v>
      </c>
    </row>
    <row r="1795" spans="1:8" ht="15">
      <c r="A1795" s="127" t="s">
        <v>780</v>
      </c>
      <c r="B1795" s="127" t="s">
        <v>1064</v>
      </c>
      <c r="C1795" s="34"/>
      <c r="D1795" s="31" t="s">
        <v>206</v>
      </c>
      <c r="G1795" s="140">
        <f aca="true" t="shared" si="23" ref="G1795:G1805">G248</f>
        <v>60082.8</v>
      </c>
      <c r="H1795" s="140">
        <v>584193</v>
      </c>
    </row>
    <row r="1796" spans="1:8" ht="15">
      <c r="A1796" s="127" t="s">
        <v>780</v>
      </c>
      <c r="B1796" s="127" t="s">
        <v>1066</v>
      </c>
      <c r="C1796" s="34"/>
      <c r="D1796" s="31" t="s">
        <v>207</v>
      </c>
      <c r="G1796" s="140">
        <f t="shared" si="23"/>
        <v>99159.95</v>
      </c>
      <c r="H1796" s="140">
        <v>0</v>
      </c>
    </row>
    <row r="1797" spans="1:8" ht="15">
      <c r="A1797" s="127" t="s">
        <v>780</v>
      </c>
      <c r="B1797" s="127" t="s">
        <v>778</v>
      </c>
      <c r="C1797" s="31"/>
      <c r="D1797" s="31" t="s">
        <v>208</v>
      </c>
      <c r="G1797" s="140">
        <f t="shared" si="23"/>
        <v>1895696.9</v>
      </c>
      <c r="H1797" s="140">
        <v>18008158</v>
      </c>
    </row>
    <row r="1798" spans="1:8" ht="15">
      <c r="A1798" s="127" t="s">
        <v>209</v>
      </c>
      <c r="B1798" s="127" t="s">
        <v>1159</v>
      </c>
      <c r="C1798" s="31"/>
      <c r="D1798" s="31" t="s">
        <v>210</v>
      </c>
      <c r="G1798" s="140">
        <f t="shared" si="23"/>
        <v>12202902.199999997</v>
      </c>
      <c r="H1798" s="140">
        <v>10127873</v>
      </c>
    </row>
    <row r="1799" spans="1:8" ht="15">
      <c r="A1799" s="127" t="s">
        <v>209</v>
      </c>
      <c r="B1799" s="127" t="s">
        <v>1161</v>
      </c>
      <c r="C1799" s="34"/>
      <c r="D1799" s="31" t="s">
        <v>211</v>
      </c>
      <c r="G1799" s="140">
        <f t="shared" si="23"/>
        <v>2019102.6</v>
      </c>
      <c r="H1799" s="140">
        <v>17789916</v>
      </c>
    </row>
    <row r="1800" spans="1:8" ht="15">
      <c r="A1800" s="127" t="s">
        <v>209</v>
      </c>
      <c r="B1800" s="127" t="s">
        <v>1163</v>
      </c>
      <c r="C1800" s="34"/>
      <c r="D1800" s="31" t="s">
        <v>212</v>
      </c>
      <c r="G1800" s="140">
        <f t="shared" si="23"/>
        <v>7183137.45</v>
      </c>
      <c r="H1800" s="140">
        <v>0</v>
      </c>
    </row>
    <row r="1801" spans="1:8" ht="15">
      <c r="A1801" s="127" t="s">
        <v>209</v>
      </c>
      <c r="B1801" s="127" t="s">
        <v>1165</v>
      </c>
      <c r="C1801" s="34"/>
      <c r="D1801" s="31" t="s">
        <v>213</v>
      </c>
      <c r="G1801" s="140">
        <f t="shared" si="23"/>
        <v>9231873.200000003</v>
      </c>
      <c r="H1801" s="140">
        <v>0</v>
      </c>
    </row>
    <row r="1802" spans="1:8" ht="15">
      <c r="A1802" s="127" t="s">
        <v>209</v>
      </c>
      <c r="B1802" s="127" t="s">
        <v>1167</v>
      </c>
      <c r="C1802" s="31"/>
      <c r="D1802" s="31" t="s">
        <v>214</v>
      </c>
      <c r="G1802" s="140">
        <f t="shared" si="23"/>
        <v>0</v>
      </c>
      <c r="H1802" s="140">
        <v>12785727</v>
      </c>
    </row>
    <row r="1803" spans="1:8" ht="15">
      <c r="A1803" s="127" t="s">
        <v>209</v>
      </c>
      <c r="B1803" s="127" t="s">
        <v>1169</v>
      </c>
      <c r="C1803" s="34"/>
      <c r="D1803" s="31" t="s">
        <v>215</v>
      </c>
      <c r="G1803" s="140">
        <f t="shared" si="23"/>
        <v>5645906.6</v>
      </c>
      <c r="H1803" s="140">
        <v>0</v>
      </c>
    </row>
    <row r="1804" spans="1:8" ht="15">
      <c r="A1804" s="127" t="s">
        <v>209</v>
      </c>
      <c r="B1804" s="127" t="s">
        <v>1</v>
      </c>
      <c r="C1804" s="34"/>
      <c r="D1804" s="31" t="s">
        <v>216</v>
      </c>
      <c r="G1804" s="140">
        <f t="shared" si="23"/>
        <v>5708254.950000001</v>
      </c>
      <c r="H1804" s="140">
        <v>0</v>
      </c>
    </row>
    <row r="1805" spans="1:8" ht="15">
      <c r="A1805" s="127" t="s">
        <v>209</v>
      </c>
      <c r="B1805" s="127" t="s">
        <v>728</v>
      </c>
      <c r="C1805" s="34"/>
      <c r="D1805" s="31" t="s">
        <v>217</v>
      </c>
      <c r="G1805" s="140">
        <f t="shared" si="23"/>
        <v>1592173.2</v>
      </c>
      <c r="H1805" s="140">
        <v>0</v>
      </c>
    </row>
    <row r="1806" spans="1:8" ht="15">
      <c r="A1806" s="127" t="s">
        <v>209</v>
      </c>
      <c r="B1806" s="127" t="s">
        <v>1064</v>
      </c>
      <c r="C1806" s="34"/>
      <c r="D1806" s="31" t="s">
        <v>1349</v>
      </c>
      <c r="G1806" s="140">
        <f aca="true" t="shared" si="24" ref="G1806:G1817">G279</f>
        <v>5677960.9</v>
      </c>
      <c r="H1806" s="140">
        <v>9804242</v>
      </c>
    </row>
    <row r="1807" spans="1:8" ht="15">
      <c r="A1807" s="127" t="s">
        <v>209</v>
      </c>
      <c r="B1807" s="127" t="s">
        <v>1066</v>
      </c>
      <c r="C1807" s="34"/>
      <c r="D1807" s="31" t="s">
        <v>1350</v>
      </c>
      <c r="G1807" s="140">
        <f t="shared" si="24"/>
        <v>4491374.4</v>
      </c>
      <c r="H1807" s="140">
        <v>0</v>
      </c>
    </row>
    <row r="1808" spans="1:8" ht="15">
      <c r="A1808" s="127" t="s">
        <v>209</v>
      </c>
      <c r="B1808" s="127" t="s">
        <v>778</v>
      </c>
      <c r="C1808" s="31"/>
      <c r="D1808" s="31" t="s">
        <v>1351</v>
      </c>
      <c r="G1808" s="140">
        <f t="shared" si="24"/>
        <v>4775905.05</v>
      </c>
      <c r="H1808" s="140">
        <v>7573563</v>
      </c>
    </row>
    <row r="1809" spans="1:8" ht="15">
      <c r="A1809" s="127" t="s">
        <v>1352</v>
      </c>
      <c r="B1809" s="127" t="s">
        <v>1064</v>
      </c>
      <c r="C1809" s="34"/>
      <c r="D1809" s="31" t="s">
        <v>1353</v>
      </c>
      <c r="G1809" s="140">
        <f t="shared" si="24"/>
        <v>432081719</v>
      </c>
      <c r="H1809" s="140">
        <v>1008949</v>
      </c>
    </row>
    <row r="1810" spans="1:8" ht="15">
      <c r="A1810" s="127" t="s">
        <v>1354</v>
      </c>
      <c r="B1810" s="127" t="s">
        <v>1159</v>
      </c>
      <c r="C1810" s="31"/>
      <c r="D1810" s="31" t="s">
        <v>1355</v>
      </c>
      <c r="G1810" s="140">
        <f t="shared" si="24"/>
        <v>3885163.2</v>
      </c>
      <c r="H1810" s="140">
        <v>3545362</v>
      </c>
    </row>
    <row r="1811" spans="1:8" ht="15">
      <c r="A1811" s="127" t="s">
        <v>1354</v>
      </c>
      <c r="B1811" s="127" t="s">
        <v>1161</v>
      </c>
      <c r="C1811" s="34"/>
      <c r="D1811" s="31" t="s">
        <v>1356</v>
      </c>
      <c r="G1811" s="140">
        <f t="shared" si="24"/>
        <v>3866769.6</v>
      </c>
      <c r="H1811" s="140">
        <v>5908910</v>
      </c>
    </row>
    <row r="1812" spans="1:8" ht="15">
      <c r="A1812" s="127" t="s">
        <v>1354</v>
      </c>
      <c r="B1812" s="127" t="s">
        <v>1163</v>
      </c>
      <c r="C1812" s="34"/>
      <c r="D1812" s="31" t="s">
        <v>1357</v>
      </c>
      <c r="G1812" s="140">
        <f t="shared" si="24"/>
        <v>2779627.2</v>
      </c>
      <c r="H1812" s="140">
        <v>0</v>
      </c>
    </row>
    <row r="1813" spans="1:8" ht="15">
      <c r="A1813" s="127" t="s">
        <v>1354</v>
      </c>
      <c r="B1813" s="127" t="s">
        <v>1165</v>
      </c>
      <c r="C1813" s="34"/>
      <c r="D1813" s="31" t="s">
        <v>1358</v>
      </c>
      <c r="G1813" s="140">
        <f t="shared" si="24"/>
        <v>2316356</v>
      </c>
      <c r="H1813" s="140">
        <v>0</v>
      </c>
    </row>
    <row r="1814" spans="1:8" ht="15">
      <c r="A1814" s="127" t="s">
        <v>1354</v>
      </c>
      <c r="B1814" s="127" t="s">
        <v>1167</v>
      </c>
      <c r="C1814" s="31"/>
      <c r="D1814" s="31" t="s">
        <v>1359</v>
      </c>
      <c r="G1814" s="140">
        <f t="shared" si="24"/>
        <v>0</v>
      </c>
      <c r="H1814" s="140">
        <v>7593466</v>
      </c>
    </row>
    <row r="1815" spans="1:8" ht="15">
      <c r="A1815" s="127" t="s">
        <v>1354</v>
      </c>
      <c r="B1815" s="127" t="s">
        <v>1169</v>
      </c>
      <c r="C1815" s="34"/>
      <c r="D1815" s="31" t="s">
        <v>1360</v>
      </c>
      <c r="G1815" s="140">
        <f t="shared" si="24"/>
        <v>2932627.2</v>
      </c>
      <c r="H1815" s="140">
        <v>0</v>
      </c>
    </row>
    <row r="1816" spans="1:8" ht="15">
      <c r="A1816" s="127" t="s">
        <v>1354</v>
      </c>
      <c r="B1816" s="127" t="s">
        <v>1</v>
      </c>
      <c r="C1816" s="34"/>
      <c r="D1816" s="31" t="s">
        <v>1361</v>
      </c>
      <c r="G1816" s="140">
        <f t="shared" si="24"/>
        <v>2932627.2</v>
      </c>
      <c r="H1816" s="140">
        <v>0</v>
      </c>
    </row>
    <row r="1817" spans="1:8" ht="15">
      <c r="A1817" s="127" t="s">
        <v>1354</v>
      </c>
      <c r="B1817" s="127" t="s">
        <v>728</v>
      </c>
      <c r="C1817" s="34"/>
      <c r="D1817" s="31" t="s">
        <v>556</v>
      </c>
      <c r="G1817" s="140">
        <f t="shared" si="24"/>
        <v>2728291.2</v>
      </c>
      <c r="H1817" s="140">
        <v>0</v>
      </c>
    </row>
    <row r="1818" spans="1:8" ht="15">
      <c r="A1818" s="127" t="s">
        <v>1354</v>
      </c>
      <c r="B1818" s="127" t="s">
        <v>1064</v>
      </c>
      <c r="C1818" s="34"/>
      <c r="D1818" s="31" t="s">
        <v>905</v>
      </c>
      <c r="G1818" s="140">
        <f aca="true" t="shared" si="25" ref="G1818:G1829">G311</f>
        <v>0</v>
      </c>
      <c r="H1818" s="140">
        <v>2736747</v>
      </c>
    </row>
    <row r="1819" spans="1:8" ht="15">
      <c r="A1819" s="127" t="s">
        <v>1354</v>
      </c>
      <c r="B1819" s="127" t="s">
        <v>1066</v>
      </c>
      <c r="C1819" s="34"/>
      <c r="D1819" s="31" t="s">
        <v>906</v>
      </c>
      <c r="G1819" s="140">
        <f t="shared" si="25"/>
        <v>2932627.2</v>
      </c>
      <c r="H1819" s="140">
        <v>0</v>
      </c>
    </row>
    <row r="1820" spans="1:8" ht="15">
      <c r="A1820" s="127" t="s">
        <v>1354</v>
      </c>
      <c r="B1820" s="127" t="s">
        <v>778</v>
      </c>
      <c r="C1820" s="31"/>
      <c r="D1820" s="31" t="s">
        <v>907</v>
      </c>
      <c r="G1820" s="140">
        <f t="shared" si="25"/>
        <v>2779627.2</v>
      </c>
      <c r="H1820" s="140">
        <v>2592404</v>
      </c>
    </row>
    <row r="1821" spans="1:8" ht="15">
      <c r="A1821" s="127" t="s">
        <v>908</v>
      </c>
      <c r="B1821" s="127" t="s">
        <v>1064</v>
      </c>
      <c r="C1821" s="34"/>
      <c r="D1821" s="31" t="s">
        <v>909</v>
      </c>
      <c r="G1821" s="140">
        <f t="shared" si="25"/>
        <v>320229905</v>
      </c>
      <c r="H1821" s="140">
        <v>308687400</v>
      </c>
    </row>
    <row r="1822" spans="1:8" ht="15">
      <c r="A1822" s="127" t="s">
        <v>910</v>
      </c>
      <c r="B1822" s="127" t="s">
        <v>1159</v>
      </c>
      <c r="C1822" s="31"/>
      <c r="D1822" s="31" t="s">
        <v>911</v>
      </c>
      <c r="G1822" s="140">
        <f t="shared" si="25"/>
        <v>42391398.15</v>
      </c>
      <c r="H1822" s="140">
        <v>12194943</v>
      </c>
    </row>
    <row r="1823" spans="1:8" ht="15">
      <c r="A1823" s="127" t="s">
        <v>910</v>
      </c>
      <c r="B1823" s="127" t="s">
        <v>1161</v>
      </c>
      <c r="C1823" s="34"/>
      <c r="D1823" s="31" t="s">
        <v>912</v>
      </c>
      <c r="G1823" s="140">
        <f t="shared" si="25"/>
        <v>1700594</v>
      </c>
      <c r="H1823" s="144">
        <v>10112218</v>
      </c>
    </row>
    <row r="1824" spans="1:8" ht="15">
      <c r="A1824" s="127" t="s">
        <v>910</v>
      </c>
      <c r="B1824" s="127" t="s">
        <v>1163</v>
      </c>
      <c r="C1824" s="34"/>
      <c r="D1824" s="31" t="s">
        <v>913</v>
      </c>
      <c r="G1824" s="140">
        <f t="shared" si="25"/>
        <v>3789703</v>
      </c>
      <c r="H1824" s="140">
        <v>0</v>
      </c>
    </row>
    <row r="1825" spans="1:8" ht="15">
      <c r="A1825" s="127" t="s">
        <v>910</v>
      </c>
      <c r="B1825" s="127" t="s">
        <v>1165</v>
      </c>
      <c r="C1825" s="34"/>
      <c r="D1825" s="31" t="s">
        <v>914</v>
      </c>
      <c r="G1825" s="140">
        <f t="shared" si="25"/>
        <v>4121107</v>
      </c>
      <c r="H1825" s="140">
        <v>0</v>
      </c>
    </row>
    <row r="1826" spans="1:8" ht="15">
      <c r="A1826" s="127" t="s">
        <v>910</v>
      </c>
      <c r="B1826" s="127" t="s">
        <v>1167</v>
      </c>
      <c r="C1826" s="31"/>
      <c r="D1826" s="31" t="s">
        <v>915</v>
      </c>
      <c r="G1826" s="140">
        <f t="shared" si="25"/>
        <v>0</v>
      </c>
      <c r="H1826" s="140">
        <v>5729568</v>
      </c>
    </row>
    <row r="1827" spans="1:8" ht="15">
      <c r="A1827" s="127" t="s">
        <v>910</v>
      </c>
      <c r="B1827" s="127" t="s">
        <v>1169</v>
      </c>
      <c r="C1827" s="34"/>
      <c r="D1827" s="31" t="s">
        <v>916</v>
      </c>
      <c r="G1827" s="140">
        <f t="shared" si="25"/>
        <v>2238458</v>
      </c>
      <c r="H1827" s="140">
        <v>0</v>
      </c>
    </row>
    <row r="1828" spans="1:8" ht="15">
      <c r="A1828" s="127" t="s">
        <v>910</v>
      </c>
      <c r="B1828" s="127" t="s">
        <v>1</v>
      </c>
      <c r="C1828" s="34"/>
      <c r="D1828" s="31" t="s">
        <v>917</v>
      </c>
      <c r="G1828" s="140">
        <f t="shared" si="25"/>
        <v>2305433</v>
      </c>
      <c r="H1828" s="140">
        <v>0</v>
      </c>
    </row>
    <row r="1829" spans="1:8" ht="15">
      <c r="A1829" s="127" t="s">
        <v>910</v>
      </c>
      <c r="B1829" s="127" t="s">
        <v>728</v>
      </c>
      <c r="C1829" s="34"/>
      <c r="D1829" s="31" t="s">
        <v>1677</v>
      </c>
      <c r="G1829" s="140">
        <f t="shared" si="25"/>
        <v>837144</v>
      </c>
      <c r="H1829" s="140">
        <v>0</v>
      </c>
    </row>
    <row r="1830" spans="1:8" ht="15">
      <c r="A1830" s="127" t="s">
        <v>910</v>
      </c>
      <c r="B1830" s="127" t="s">
        <v>1064</v>
      </c>
      <c r="C1830" s="34"/>
      <c r="D1830" s="31" t="s">
        <v>987</v>
      </c>
      <c r="G1830" s="140">
        <f aca="true" t="shared" si="26" ref="G1830:G1836">G343</f>
        <v>2850438.05</v>
      </c>
      <c r="H1830" s="140">
        <v>8046919</v>
      </c>
    </row>
    <row r="1831" spans="1:8" ht="15">
      <c r="A1831" s="127" t="s">
        <v>910</v>
      </c>
      <c r="B1831" s="127" t="s">
        <v>1066</v>
      </c>
      <c r="C1831" s="34"/>
      <c r="D1831" s="31" t="s">
        <v>988</v>
      </c>
      <c r="G1831" s="140">
        <f t="shared" si="26"/>
        <v>2057027</v>
      </c>
      <c r="H1831" s="140">
        <v>0</v>
      </c>
    </row>
    <row r="1832" spans="1:8" ht="15">
      <c r="A1832" s="127" t="s">
        <v>910</v>
      </c>
      <c r="B1832" s="127" t="s">
        <v>778</v>
      </c>
      <c r="C1832" s="31"/>
      <c r="D1832" s="31" t="s">
        <v>989</v>
      </c>
      <c r="G1832" s="140">
        <f t="shared" si="26"/>
        <v>1861424.3</v>
      </c>
      <c r="H1832" s="140">
        <v>3879023</v>
      </c>
    </row>
    <row r="1833" spans="1:8" ht="15">
      <c r="A1833" s="127" t="s">
        <v>990</v>
      </c>
      <c r="B1833" s="127" t="s">
        <v>1159</v>
      </c>
      <c r="C1833" s="31"/>
      <c r="D1833" s="31" t="s">
        <v>991</v>
      </c>
      <c r="G1833" s="140">
        <f t="shared" si="26"/>
        <v>4078275.09</v>
      </c>
      <c r="H1833" s="140">
        <v>172619799</v>
      </c>
    </row>
    <row r="1834" spans="1:8" ht="15">
      <c r="A1834" s="127" t="s">
        <v>990</v>
      </c>
      <c r="B1834" s="127" t="s">
        <v>1161</v>
      </c>
      <c r="C1834" s="31"/>
      <c r="D1834" s="31" t="s">
        <v>992</v>
      </c>
      <c r="G1834" s="140">
        <f t="shared" si="26"/>
        <v>425434.36</v>
      </c>
      <c r="H1834" s="140"/>
    </row>
    <row r="1835" spans="1:8" ht="15">
      <c r="A1835" s="127" t="s">
        <v>990</v>
      </c>
      <c r="B1835" s="127" t="s">
        <v>1163</v>
      </c>
      <c r="C1835" s="31"/>
      <c r="D1835" s="31" t="s">
        <v>993</v>
      </c>
      <c r="G1835" s="140">
        <f t="shared" si="26"/>
        <v>2127171.77</v>
      </c>
      <c r="H1835" s="140"/>
    </row>
    <row r="1836" spans="1:8" ht="15">
      <c r="A1836" s="127" t="s">
        <v>990</v>
      </c>
      <c r="B1836" s="127" t="s">
        <v>1165</v>
      </c>
      <c r="C1836" s="31"/>
      <c r="D1836" s="31" t="s">
        <v>994</v>
      </c>
      <c r="G1836" s="140">
        <f t="shared" si="26"/>
        <v>2978040.48</v>
      </c>
      <c r="H1836" s="140"/>
    </row>
    <row r="1837" spans="1:8" ht="15">
      <c r="A1837" s="127" t="s">
        <v>990</v>
      </c>
      <c r="B1837" s="127" t="s">
        <v>1169</v>
      </c>
      <c r="C1837" s="31"/>
      <c r="D1837" s="31" t="s">
        <v>996</v>
      </c>
      <c r="G1837" s="140">
        <f>G351</f>
        <v>2127171.77</v>
      </c>
      <c r="H1837" s="140"/>
    </row>
    <row r="1838" spans="1:8" ht="15">
      <c r="A1838" s="127" t="s">
        <v>990</v>
      </c>
      <c r="B1838" s="127" t="s">
        <v>1</v>
      </c>
      <c r="C1838" s="31"/>
      <c r="D1838" s="31" t="s">
        <v>997</v>
      </c>
      <c r="G1838" s="140">
        <f>G352</f>
        <v>2552606.11</v>
      </c>
      <c r="H1838" s="140"/>
    </row>
    <row r="1839" spans="1:8" ht="15">
      <c r="A1839" s="127" t="s">
        <v>990</v>
      </c>
      <c r="B1839" s="127" t="s">
        <v>728</v>
      </c>
      <c r="C1839" s="31"/>
      <c r="D1839" s="31" t="s">
        <v>998</v>
      </c>
      <c r="G1839" s="140">
        <f>G353</f>
        <v>425434.36</v>
      </c>
      <c r="H1839" s="140">
        <v>0</v>
      </c>
    </row>
    <row r="1840" spans="1:8" ht="15">
      <c r="A1840" s="127" t="s">
        <v>990</v>
      </c>
      <c r="B1840" s="127" t="s">
        <v>1064</v>
      </c>
      <c r="C1840" s="31"/>
      <c r="D1840" s="31" t="s">
        <v>129</v>
      </c>
      <c r="G1840" s="140">
        <f aca="true" t="shared" si="27" ref="G1840:G1856">G368</f>
        <v>116923216.43999998</v>
      </c>
      <c r="H1840" s="140"/>
    </row>
    <row r="1841" spans="1:8" ht="15">
      <c r="A1841" s="127" t="s">
        <v>990</v>
      </c>
      <c r="B1841" s="127" t="s">
        <v>1066</v>
      </c>
      <c r="C1841" s="31"/>
      <c r="D1841" s="31" t="s">
        <v>130</v>
      </c>
      <c r="G1841" s="140">
        <f t="shared" si="27"/>
        <v>2604606.11</v>
      </c>
      <c r="H1841" s="140"/>
    </row>
    <row r="1842" spans="1:8" ht="15">
      <c r="A1842" s="127" t="s">
        <v>990</v>
      </c>
      <c r="B1842" s="127" t="s">
        <v>778</v>
      </c>
      <c r="C1842" s="31"/>
      <c r="D1842" s="31" t="s">
        <v>131</v>
      </c>
      <c r="G1842" s="140">
        <f t="shared" si="27"/>
        <v>1701737.4</v>
      </c>
      <c r="H1842" s="140"/>
    </row>
    <row r="1843" spans="1:8" ht="15">
      <c r="A1843" s="127" t="s">
        <v>132</v>
      </c>
      <c r="B1843" s="127" t="s">
        <v>1064</v>
      </c>
      <c r="C1843" s="31"/>
      <c r="D1843" s="31" t="s">
        <v>133</v>
      </c>
      <c r="G1843" s="140">
        <f t="shared" si="27"/>
        <v>3857981</v>
      </c>
      <c r="H1843" s="140">
        <v>28812739</v>
      </c>
    </row>
    <row r="1844" spans="1:8" ht="15">
      <c r="A1844" s="127" t="s">
        <v>134</v>
      </c>
      <c r="B1844" s="127" t="s">
        <v>1064</v>
      </c>
      <c r="C1844" s="31"/>
      <c r="D1844" s="31" t="s">
        <v>135</v>
      </c>
      <c r="G1844" s="140">
        <f t="shared" si="27"/>
        <v>6445500</v>
      </c>
      <c r="H1844" s="140">
        <v>3945500</v>
      </c>
    </row>
    <row r="1845" spans="1:8" ht="15">
      <c r="A1845" s="127" t="s">
        <v>136</v>
      </c>
      <c r="B1845" s="127" t="s">
        <v>1064</v>
      </c>
      <c r="C1845" s="31"/>
      <c r="D1845" s="31" t="s">
        <v>137</v>
      </c>
      <c r="G1845" s="140">
        <f t="shared" si="27"/>
        <v>256912195</v>
      </c>
      <c r="H1845" s="140">
        <v>66600968</v>
      </c>
    </row>
    <row r="1846" spans="1:8" ht="15">
      <c r="A1846" s="127" t="s">
        <v>138</v>
      </c>
      <c r="B1846" s="127" t="s">
        <v>1064</v>
      </c>
      <c r="C1846" s="31"/>
      <c r="D1846" s="31" t="s">
        <v>139</v>
      </c>
      <c r="G1846" s="140">
        <f t="shared" si="27"/>
        <v>228034411</v>
      </c>
      <c r="H1846" s="140">
        <v>234639798</v>
      </c>
    </row>
    <row r="1847" spans="1:8" ht="15">
      <c r="A1847" s="127" t="s">
        <v>140</v>
      </c>
      <c r="B1847" s="127" t="s">
        <v>1066</v>
      </c>
      <c r="C1847" s="31"/>
      <c r="D1847" s="31" t="s">
        <v>141</v>
      </c>
      <c r="G1847" s="140">
        <f t="shared" si="27"/>
        <v>2190393</v>
      </c>
      <c r="H1847" s="140">
        <v>656321</v>
      </c>
    </row>
    <row r="1848" spans="1:8" ht="15">
      <c r="A1848" s="127" t="s">
        <v>142</v>
      </c>
      <c r="B1848" s="127" t="s">
        <v>1064</v>
      </c>
      <c r="C1848" s="31"/>
      <c r="D1848" s="31" t="s">
        <v>143</v>
      </c>
      <c r="G1848" s="140">
        <f t="shared" si="27"/>
        <v>48886780</v>
      </c>
      <c r="H1848" s="140">
        <v>30599555</v>
      </c>
    </row>
    <row r="1849" spans="1:8" ht="15">
      <c r="A1849" s="127" t="s">
        <v>144</v>
      </c>
      <c r="B1849" s="127" t="s">
        <v>1159</v>
      </c>
      <c r="C1849" s="31"/>
      <c r="D1849" s="31" t="s">
        <v>145</v>
      </c>
      <c r="G1849" s="140">
        <f t="shared" si="27"/>
        <v>152304542.84999996</v>
      </c>
      <c r="H1849" s="140">
        <v>31334245</v>
      </c>
    </row>
    <row r="1850" spans="1:8" ht="15">
      <c r="A1850" s="127" t="s">
        <v>144</v>
      </c>
      <c r="B1850" s="127" t="s">
        <v>1161</v>
      </c>
      <c r="C1850" s="31"/>
      <c r="D1850" s="31" t="s">
        <v>146</v>
      </c>
      <c r="G1850" s="140">
        <f t="shared" si="27"/>
        <v>6674510.349999999</v>
      </c>
      <c r="H1850" s="140">
        <v>35010750</v>
      </c>
    </row>
    <row r="1851" spans="1:8" ht="15">
      <c r="A1851" s="127" t="s">
        <v>144</v>
      </c>
      <c r="B1851" s="127" t="s">
        <v>1163</v>
      </c>
      <c r="C1851" s="31"/>
      <c r="D1851" s="31" t="s">
        <v>147</v>
      </c>
      <c r="G1851" s="140">
        <f t="shared" si="27"/>
        <v>3308472</v>
      </c>
      <c r="H1851" s="140">
        <v>0</v>
      </c>
    </row>
    <row r="1852" spans="1:8" ht="15">
      <c r="A1852" s="127" t="s">
        <v>144</v>
      </c>
      <c r="B1852" s="127" t="s">
        <v>1165</v>
      </c>
      <c r="C1852" s="34"/>
      <c r="D1852" s="31" t="s">
        <v>148</v>
      </c>
      <c r="G1852" s="140">
        <f t="shared" si="27"/>
        <v>5250000</v>
      </c>
      <c r="H1852" s="140">
        <v>0</v>
      </c>
    </row>
    <row r="1853" spans="1:8" ht="15">
      <c r="A1853" s="127" t="s">
        <v>144</v>
      </c>
      <c r="B1853" s="127" t="s">
        <v>1167</v>
      </c>
      <c r="C1853" s="34"/>
      <c r="D1853" s="31" t="s">
        <v>149</v>
      </c>
      <c r="G1853" s="140">
        <f t="shared" si="27"/>
        <v>0</v>
      </c>
      <c r="H1853" s="140">
        <v>23843762</v>
      </c>
    </row>
    <row r="1854" spans="1:8" ht="15">
      <c r="A1854" s="127" t="s">
        <v>144</v>
      </c>
      <c r="B1854" s="127" t="s">
        <v>1169</v>
      </c>
      <c r="C1854" s="34"/>
      <c r="D1854" s="31" t="s">
        <v>150</v>
      </c>
      <c r="G1854" s="140">
        <f t="shared" si="27"/>
        <v>4566537.21</v>
      </c>
      <c r="H1854" s="140">
        <v>0</v>
      </c>
    </row>
    <row r="1855" spans="1:8" ht="15">
      <c r="A1855" s="127" t="s">
        <v>144</v>
      </c>
      <c r="B1855" s="127" t="s">
        <v>1</v>
      </c>
      <c r="C1855" s="34"/>
      <c r="D1855" s="31" t="s">
        <v>151</v>
      </c>
      <c r="G1855" s="140">
        <f t="shared" si="27"/>
        <v>3106912.11</v>
      </c>
      <c r="H1855" s="140">
        <v>0</v>
      </c>
    </row>
    <row r="1856" spans="1:8" ht="15">
      <c r="A1856" s="127" t="s">
        <v>144</v>
      </c>
      <c r="B1856" s="127" t="s">
        <v>728</v>
      </c>
      <c r="C1856" s="34"/>
      <c r="D1856" s="31" t="s">
        <v>152</v>
      </c>
      <c r="G1856" s="140">
        <f t="shared" si="27"/>
        <v>1924617.17</v>
      </c>
      <c r="H1856" s="140">
        <v>0</v>
      </c>
    </row>
    <row r="1857" spans="1:8" ht="15">
      <c r="A1857" s="127" t="s">
        <v>144</v>
      </c>
      <c r="B1857" s="127" t="s">
        <v>1064</v>
      </c>
      <c r="C1857" s="34"/>
      <c r="D1857" s="31" t="s">
        <v>832</v>
      </c>
      <c r="G1857" s="140">
        <f>G405</f>
        <v>12856655.530000001</v>
      </c>
      <c r="H1857" s="140">
        <v>33127442</v>
      </c>
    </row>
    <row r="1858" spans="1:8" ht="15">
      <c r="A1858" s="127" t="s">
        <v>144</v>
      </c>
      <c r="B1858" s="127" t="s">
        <v>1066</v>
      </c>
      <c r="C1858" s="34"/>
      <c r="D1858" s="31" t="s">
        <v>833</v>
      </c>
      <c r="G1858" s="140">
        <f>G406</f>
        <v>2834247.04</v>
      </c>
      <c r="H1858" s="140">
        <v>0</v>
      </c>
    </row>
    <row r="1859" spans="1:8" ht="15">
      <c r="A1859" s="127" t="s">
        <v>144</v>
      </c>
      <c r="B1859" s="127" t="s">
        <v>778</v>
      </c>
      <c r="C1859" s="34"/>
      <c r="D1859" s="31" t="s">
        <v>834</v>
      </c>
      <c r="G1859" s="140">
        <f>G407</f>
        <v>4261304.09</v>
      </c>
      <c r="H1859" s="140">
        <v>13165312</v>
      </c>
    </row>
    <row r="1860" spans="1:8" ht="15">
      <c r="A1860" s="127" t="s">
        <v>1396</v>
      </c>
      <c r="B1860" s="127" t="s">
        <v>1064</v>
      </c>
      <c r="C1860" s="34"/>
      <c r="D1860" s="31" t="s">
        <v>1397</v>
      </c>
      <c r="G1860" s="140">
        <v>0</v>
      </c>
      <c r="H1860" s="140">
        <v>595000</v>
      </c>
    </row>
    <row r="1861" spans="2:8" ht="15">
      <c r="B1861" s="31"/>
      <c r="C1861" s="77"/>
      <c r="D1861" s="81" t="s">
        <v>943</v>
      </c>
      <c r="E1861" s="81"/>
      <c r="F1861" s="8"/>
      <c r="G1861" s="149">
        <f>SUM(G1776:G1860)</f>
        <v>2073274991.3899994</v>
      </c>
      <c r="H1861" s="149">
        <f>SUM(H1776:H1860)</f>
        <v>1407100187</v>
      </c>
    </row>
    <row r="1862" spans="2:8" ht="15">
      <c r="B1862" s="31"/>
      <c r="C1862" s="73"/>
      <c r="G1862" s="140"/>
      <c r="H1862" s="140"/>
    </row>
    <row r="1863" spans="2:8" ht="15">
      <c r="B1863" s="132"/>
      <c r="C1863" s="74">
        <v>307500</v>
      </c>
      <c r="D1863" s="75" t="s">
        <v>557</v>
      </c>
      <c r="G1863" s="140"/>
      <c r="H1863" s="140"/>
    </row>
    <row r="1864" spans="1:8" ht="15">
      <c r="A1864" s="127" t="s">
        <v>491</v>
      </c>
      <c r="B1864" s="127" t="s">
        <v>1161</v>
      </c>
      <c r="C1864" s="34"/>
      <c r="D1864" s="31" t="s">
        <v>492</v>
      </c>
      <c r="G1864" s="140">
        <f>G543</f>
        <v>242655115</v>
      </c>
      <c r="H1864" s="140">
        <v>235166785</v>
      </c>
    </row>
    <row r="1865" spans="2:8" ht="15">
      <c r="B1865" s="31"/>
      <c r="C1865" s="77"/>
      <c r="D1865" s="81" t="s">
        <v>943</v>
      </c>
      <c r="E1865" s="81"/>
      <c r="F1865" s="8"/>
      <c r="G1865" s="149">
        <f>SUM(G1864)</f>
        <v>242655115</v>
      </c>
      <c r="H1865" s="149">
        <f>SUM(H1864)</f>
        <v>235166785</v>
      </c>
    </row>
    <row r="1866" spans="2:8" ht="15">
      <c r="B1866" s="31"/>
      <c r="C1866" s="73"/>
      <c r="G1866" s="140"/>
      <c r="H1866" s="140"/>
    </row>
    <row r="1867" spans="2:8" ht="15">
      <c r="B1867" s="132"/>
      <c r="C1867" s="74">
        <v>307510</v>
      </c>
      <c r="D1867" s="75" t="s">
        <v>396</v>
      </c>
      <c r="G1867" s="140"/>
      <c r="H1867" s="140"/>
    </row>
    <row r="1868" spans="1:8" ht="15">
      <c r="A1868" s="127" t="s">
        <v>1398</v>
      </c>
      <c r="B1868" s="127" t="s">
        <v>1165</v>
      </c>
      <c r="C1868" s="34"/>
      <c r="D1868" s="31" t="s">
        <v>839</v>
      </c>
      <c r="G1868" s="140">
        <f>G417</f>
        <v>47042316.67</v>
      </c>
      <c r="H1868" s="140"/>
    </row>
    <row r="1869" spans="1:8" ht="15">
      <c r="A1869" s="127" t="s">
        <v>57</v>
      </c>
      <c r="B1869" s="127" t="s">
        <v>1161</v>
      </c>
      <c r="C1869" s="34"/>
      <c r="D1869" s="31" t="s">
        <v>707</v>
      </c>
      <c r="G1869" s="140">
        <f>G545</f>
        <v>28659119</v>
      </c>
      <c r="H1869" s="140">
        <v>24066602</v>
      </c>
    </row>
    <row r="1870" spans="2:8" ht="15">
      <c r="B1870" s="31"/>
      <c r="C1870" s="77"/>
      <c r="D1870" s="81" t="s">
        <v>943</v>
      </c>
      <c r="E1870" s="81"/>
      <c r="F1870" s="8"/>
      <c r="G1870" s="149">
        <f>SUM(G1868:G1869)</f>
        <v>75701435.67</v>
      </c>
      <c r="H1870" s="149">
        <f>SUM(H1868:H1869)</f>
        <v>24066602</v>
      </c>
    </row>
    <row r="1871" spans="2:8" ht="15">
      <c r="B1871" s="31"/>
      <c r="C1871" s="73"/>
      <c r="G1871" s="140"/>
      <c r="H1871" s="140"/>
    </row>
    <row r="1872" spans="2:8" ht="15">
      <c r="B1872" s="132"/>
      <c r="C1872" s="74">
        <v>307520</v>
      </c>
      <c r="D1872" s="75" t="s">
        <v>397</v>
      </c>
      <c r="G1872" s="140"/>
      <c r="H1872" s="140"/>
    </row>
    <row r="1873" ht="15">
      <c r="H1873" s="140">
        <v>0</v>
      </c>
    </row>
    <row r="1874" spans="1:8" ht="15">
      <c r="A1874" s="127" t="s">
        <v>1398</v>
      </c>
      <c r="B1874" s="127" t="s">
        <v>1159</v>
      </c>
      <c r="C1874" s="34"/>
      <c r="D1874" s="31" t="s">
        <v>1399</v>
      </c>
      <c r="G1874" s="140">
        <f>G413</f>
        <v>30919867.85</v>
      </c>
      <c r="H1874" s="140">
        <v>2831129</v>
      </c>
    </row>
    <row r="1875" spans="1:8" ht="15">
      <c r="A1875" s="127" t="s">
        <v>1398</v>
      </c>
      <c r="B1875" s="127" t="s">
        <v>1400</v>
      </c>
      <c r="C1875" s="34"/>
      <c r="D1875" s="31" t="s">
        <v>1401</v>
      </c>
      <c r="G1875" s="140">
        <f>G414</f>
        <v>10292845</v>
      </c>
      <c r="H1875" s="140">
        <v>0</v>
      </c>
    </row>
    <row r="1876" spans="1:8" ht="15">
      <c r="A1876" s="127" t="s">
        <v>1398</v>
      </c>
      <c r="B1876" s="127" t="s">
        <v>1402</v>
      </c>
      <c r="C1876" s="34"/>
      <c r="D1876" s="31" t="s">
        <v>1403</v>
      </c>
      <c r="G1876" s="140">
        <f>G415</f>
        <v>16836865.36</v>
      </c>
      <c r="H1876" s="140">
        <v>7265000</v>
      </c>
    </row>
    <row r="1877" spans="1:8" ht="15">
      <c r="A1877" s="127" t="s">
        <v>1398</v>
      </c>
      <c r="B1877" s="127" t="s">
        <v>1161</v>
      </c>
      <c r="C1877" s="34"/>
      <c r="D1877" s="31" t="s">
        <v>1404</v>
      </c>
      <c r="G1877" s="140">
        <f>G416</f>
        <v>53436135.67999999</v>
      </c>
      <c r="H1877" s="140">
        <v>0</v>
      </c>
    </row>
    <row r="1878" spans="1:8" ht="15">
      <c r="A1878" s="127" t="s">
        <v>1398</v>
      </c>
      <c r="B1878" s="127" t="s">
        <v>1064</v>
      </c>
      <c r="C1878" s="34"/>
      <c r="D1878" s="31" t="s">
        <v>846</v>
      </c>
      <c r="G1878" s="140">
        <f>G423</f>
        <v>1836286.82</v>
      </c>
      <c r="H1878" s="140">
        <v>20347001</v>
      </c>
    </row>
    <row r="1879" spans="1:8" ht="15">
      <c r="A1879" s="127" t="s">
        <v>714</v>
      </c>
      <c r="B1879" s="127" t="s">
        <v>1159</v>
      </c>
      <c r="C1879" s="34"/>
      <c r="D1879" s="31" t="s">
        <v>715</v>
      </c>
      <c r="G1879" s="140">
        <f>G550</f>
        <v>220067298.5</v>
      </c>
      <c r="H1879" s="140">
        <v>125431500</v>
      </c>
    </row>
    <row r="1880" spans="1:8" ht="15">
      <c r="A1880" s="127" t="s">
        <v>714</v>
      </c>
      <c r="B1880" s="127" t="s">
        <v>1064</v>
      </c>
      <c r="C1880" s="31"/>
      <c r="D1880" s="31" t="s">
        <v>716</v>
      </c>
      <c r="G1880" s="140">
        <f>G551</f>
        <v>38210740</v>
      </c>
      <c r="H1880" s="140">
        <v>36774997</v>
      </c>
    </row>
    <row r="1882" spans="2:8" ht="15">
      <c r="B1882" s="31"/>
      <c r="C1882" s="136"/>
      <c r="D1882" s="81" t="s">
        <v>943</v>
      </c>
      <c r="E1882" s="81"/>
      <c r="F1882" s="81"/>
      <c r="G1882" s="149">
        <f>SUM(G1874:G1880)</f>
        <v>371600039.21</v>
      </c>
      <c r="H1882" s="149">
        <f>SUM(H1873:H1880)</f>
        <v>192649627</v>
      </c>
    </row>
    <row r="1883" spans="7:8" ht="15">
      <c r="G1883" s="140"/>
      <c r="H1883" s="140"/>
    </row>
    <row r="1884" spans="2:8" ht="15">
      <c r="B1884" s="31"/>
      <c r="C1884" s="73"/>
      <c r="E1884" s="75"/>
      <c r="G1884" s="144"/>
      <c r="H1884" s="140"/>
    </row>
    <row r="1885" spans="2:8" ht="15">
      <c r="B1885" s="132"/>
      <c r="C1885" s="74">
        <v>307530</v>
      </c>
      <c r="D1885" s="75" t="s">
        <v>398</v>
      </c>
      <c r="G1885" s="140"/>
      <c r="H1885" s="140"/>
    </row>
    <row r="1886" spans="1:8" ht="15">
      <c r="A1886" s="127" t="s">
        <v>847</v>
      </c>
      <c r="B1886" s="127" t="s">
        <v>1159</v>
      </c>
      <c r="C1886" s="34"/>
      <c r="D1886" s="31" t="s">
        <v>848</v>
      </c>
      <c r="G1886" s="140">
        <f>G424</f>
        <v>145256511.83</v>
      </c>
      <c r="H1886" s="140">
        <v>140439036</v>
      </c>
    </row>
    <row r="1887" spans="1:8" ht="15">
      <c r="A1887" s="127" t="s">
        <v>847</v>
      </c>
      <c r="B1887" s="127" t="s">
        <v>1167</v>
      </c>
      <c r="C1887" s="34"/>
      <c r="D1887" s="31" t="s">
        <v>849</v>
      </c>
      <c r="G1887" s="140">
        <f>G425</f>
        <v>547500</v>
      </c>
      <c r="H1887" s="140">
        <v>5400000</v>
      </c>
    </row>
    <row r="1888" spans="1:8" ht="15">
      <c r="A1888" s="127" t="s">
        <v>847</v>
      </c>
      <c r="B1888" s="127" t="s">
        <v>778</v>
      </c>
      <c r="C1888" s="34"/>
      <c r="D1888" s="31" t="s">
        <v>855</v>
      </c>
      <c r="G1888" s="140">
        <f>G431</f>
        <v>216513248.69</v>
      </c>
      <c r="H1888" s="140">
        <v>222078216</v>
      </c>
    </row>
    <row r="1889" spans="1:8" ht="15">
      <c r="A1889" s="127" t="s">
        <v>702</v>
      </c>
      <c r="B1889" s="127" t="s">
        <v>1064</v>
      </c>
      <c r="C1889" s="34"/>
      <c r="D1889" s="31" t="s">
        <v>703</v>
      </c>
      <c r="G1889" s="140">
        <f>G556</f>
        <v>30460815</v>
      </c>
      <c r="H1889" s="140">
        <v>30460815</v>
      </c>
    </row>
    <row r="1890" spans="2:8" ht="15">
      <c r="B1890" s="31"/>
      <c r="C1890" s="136"/>
      <c r="D1890" s="81" t="s">
        <v>943</v>
      </c>
      <c r="E1890" s="81"/>
      <c r="F1890" s="81"/>
      <c r="G1890" s="149">
        <f>SUM(G1886:G1889)</f>
        <v>392778075.52</v>
      </c>
      <c r="H1890" s="149">
        <f>SUM(H1886:H1889)</f>
        <v>398378067</v>
      </c>
    </row>
    <row r="1891" spans="2:8" ht="15">
      <c r="B1891" s="31"/>
      <c r="C1891" s="73"/>
      <c r="G1891" s="140"/>
      <c r="H1891" s="140"/>
    </row>
    <row r="1892" spans="7:8" ht="15">
      <c r="G1892" s="140"/>
      <c r="H1892" s="140"/>
    </row>
    <row r="1893" spans="2:8" ht="15">
      <c r="B1893" s="132"/>
      <c r="C1893" s="74">
        <v>307540</v>
      </c>
      <c r="D1893" s="75" t="s">
        <v>1087</v>
      </c>
      <c r="G1893" s="144"/>
      <c r="H1893" s="140"/>
    </row>
    <row r="1894" spans="1:8" ht="15">
      <c r="A1894" s="127" t="s">
        <v>835</v>
      </c>
      <c r="B1894" s="127" t="s">
        <v>778</v>
      </c>
      <c r="C1894" s="34"/>
      <c r="D1894" s="31" t="s">
        <v>1395</v>
      </c>
      <c r="G1894" s="140">
        <f>G411</f>
        <v>50000</v>
      </c>
      <c r="H1894" s="140"/>
    </row>
    <row r="1895" spans="1:8" ht="15">
      <c r="A1895" s="127" t="s">
        <v>863</v>
      </c>
      <c r="B1895" s="127" t="s">
        <v>1159</v>
      </c>
      <c r="C1895" s="31"/>
      <c r="D1895" s="31" t="s">
        <v>864</v>
      </c>
      <c r="G1895" s="140">
        <f aca="true" t="shared" si="28" ref="G1895:G1902">G438</f>
        <v>4037948.2</v>
      </c>
      <c r="H1895" s="140">
        <v>3136574</v>
      </c>
    </row>
    <row r="1896" spans="1:8" ht="15">
      <c r="A1896" s="127" t="s">
        <v>863</v>
      </c>
      <c r="B1896" s="127" t="s">
        <v>1161</v>
      </c>
      <c r="C1896" s="31"/>
      <c r="D1896" s="31" t="s">
        <v>865</v>
      </c>
      <c r="G1896" s="140">
        <f t="shared" si="28"/>
        <v>8722043.000000002</v>
      </c>
      <c r="H1896" s="140">
        <v>10423729</v>
      </c>
    </row>
    <row r="1897" spans="1:8" ht="15">
      <c r="A1897" s="127" t="s">
        <v>863</v>
      </c>
      <c r="B1897" s="127" t="s">
        <v>1163</v>
      </c>
      <c r="C1897" s="31"/>
      <c r="D1897" s="31" t="s">
        <v>866</v>
      </c>
      <c r="G1897" s="140">
        <f t="shared" si="28"/>
        <v>0</v>
      </c>
      <c r="H1897" s="140">
        <v>0</v>
      </c>
    </row>
    <row r="1898" spans="1:8" ht="15">
      <c r="A1898" s="127" t="s">
        <v>863</v>
      </c>
      <c r="B1898" s="127" t="s">
        <v>1165</v>
      </c>
      <c r="C1898" s="31"/>
      <c r="D1898" s="31" t="s">
        <v>867</v>
      </c>
      <c r="G1898" s="140">
        <f t="shared" si="28"/>
        <v>0</v>
      </c>
      <c r="H1898" s="140">
        <v>2844370</v>
      </c>
    </row>
    <row r="1899" spans="1:8" ht="15">
      <c r="A1899" s="127" t="s">
        <v>863</v>
      </c>
      <c r="B1899" s="127" t="s">
        <v>1167</v>
      </c>
      <c r="C1899" s="31"/>
      <c r="D1899" s="31" t="s">
        <v>868</v>
      </c>
      <c r="G1899" s="140">
        <f t="shared" si="28"/>
        <v>5480070.510000001</v>
      </c>
      <c r="H1899" s="140">
        <v>4013374</v>
      </c>
    </row>
    <row r="1900" spans="1:8" ht="15">
      <c r="A1900" s="127" t="s">
        <v>863</v>
      </c>
      <c r="B1900" s="127" t="s">
        <v>1169</v>
      </c>
      <c r="C1900" s="31"/>
      <c r="D1900" s="31" t="s">
        <v>869</v>
      </c>
      <c r="G1900" s="140">
        <f t="shared" si="28"/>
        <v>45000</v>
      </c>
      <c r="H1900" s="140"/>
    </row>
    <row r="1901" spans="1:8" ht="15">
      <c r="A1901" s="127" t="s">
        <v>863</v>
      </c>
      <c r="B1901" s="127" t="s">
        <v>1</v>
      </c>
      <c r="C1901" s="34"/>
      <c r="D1901" s="31" t="s">
        <v>870</v>
      </c>
      <c r="G1901" s="140">
        <f t="shared" si="28"/>
        <v>0</v>
      </c>
      <c r="H1901" s="140"/>
    </row>
    <row r="1902" spans="1:8" ht="15">
      <c r="A1902" s="127" t="s">
        <v>863</v>
      </c>
      <c r="B1902" s="127" t="s">
        <v>728</v>
      </c>
      <c r="C1902" s="34"/>
      <c r="D1902" s="31" t="s">
        <v>871</v>
      </c>
      <c r="G1902" s="140">
        <f t="shared" si="28"/>
        <v>0</v>
      </c>
      <c r="H1902" s="140"/>
    </row>
    <row r="1903" spans="1:8" ht="15">
      <c r="A1903" s="127" t="s">
        <v>863</v>
      </c>
      <c r="B1903" s="127" t="s">
        <v>1064</v>
      </c>
      <c r="C1903" s="34"/>
      <c r="D1903" s="31" t="s">
        <v>944</v>
      </c>
      <c r="G1903" s="140">
        <f aca="true" t="shared" si="29" ref="G1903:G1913">G466</f>
        <v>1429593.9</v>
      </c>
      <c r="H1903" s="140">
        <v>4346201</v>
      </c>
    </row>
    <row r="1904" spans="1:8" ht="15">
      <c r="A1904" s="127" t="s">
        <v>863</v>
      </c>
      <c r="B1904" s="127" t="s">
        <v>1066</v>
      </c>
      <c r="C1904" s="31"/>
      <c r="D1904" s="31" t="s">
        <v>945</v>
      </c>
      <c r="G1904" s="140">
        <f t="shared" si="29"/>
        <v>0</v>
      </c>
      <c r="H1904" s="140">
        <v>0</v>
      </c>
    </row>
    <row r="1905" spans="1:8" ht="15">
      <c r="A1905" s="127" t="s">
        <v>863</v>
      </c>
      <c r="B1905" s="127" t="s">
        <v>778</v>
      </c>
      <c r="C1905" s="34"/>
      <c r="D1905" s="31" t="s">
        <v>946</v>
      </c>
      <c r="G1905" s="140">
        <f t="shared" si="29"/>
        <v>205246.23</v>
      </c>
      <c r="H1905" s="140">
        <v>414848</v>
      </c>
    </row>
    <row r="1906" spans="1:8" ht="15">
      <c r="A1906" s="127" t="s">
        <v>947</v>
      </c>
      <c r="B1906" s="127" t="s">
        <v>1159</v>
      </c>
      <c r="C1906" s="31"/>
      <c r="D1906" s="31" t="s">
        <v>948</v>
      </c>
      <c r="G1906" s="140">
        <f t="shared" si="29"/>
        <v>39625739.85</v>
      </c>
      <c r="H1906" s="140">
        <v>58955139</v>
      </c>
    </row>
    <row r="1907" spans="1:8" ht="15">
      <c r="A1907" s="127" t="s">
        <v>947</v>
      </c>
      <c r="B1907" s="127" t="s">
        <v>1161</v>
      </c>
      <c r="C1907" s="31"/>
      <c r="D1907" s="31" t="s">
        <v>611</v>
      </c>
      <c r="G1907" s="140">
        <f t="shared" si="29"/>
        <v>3774280.96</v>
      </c>
      <c r="H1907" s="140">
        <v>6289445</v>
      </c>
    </row>
    <row r="1908" spans="1:8" ht="15">
      <c r="A1908" s="127" t="s">
        <v>947</v>
      </c>
      <c r="B1908" s="127" t="s">
        <v>1163</v>
      </c>
      <c r="C1908" s="31"/>
      <c r="D1908" s="31" t="s">
        <v>612</v>
      </c>
      <c r="G1908" s="140">
        <f t="shared" si="29"/>
        <v>564833.32</v>
      </c>
      <c r="H1908" s="144">
        <v>0</v>
      </c>
    </row>
    <row r="1909" spans="1:8" ht="15">
      <c r="A1909" s="127" t="s">
        <v>947</v>
      </c>
      <c r="B1909" s="127" t="s">
        <v>1165</v>
      </c>
      <c r="C1909" s="31"/>
      <c r="D1909" s="31" t="s">
        <v>613</v>
      </c>
      <c r="G1909" s="140">
        <f t="shared" si="29"/>
        <v>847871.54</v>
      </c>
      <c r="H1909" s="140">
        <v>0</v>
      </c>
    </row>
    <row r="1910" spans="1:8" ht="15">
      <c r="A1910" s="127" t="s">
        <v>947</v>
      </c>
      <c r="B1910" s="127" t="s">
        <v>1167</v>
      </c>
      <c r="C1910" s="31"/>
      <c r="D1910" s="31" t="s">
        <v>614</v>
      </c>
      <c r="G1910" s="140">
        <f t="shared" si="29"/>
        <v>3277022.45</v>
      </c>
      <c r="H1910" s="140">
        <v>8553139</v>
      </c>
    </row>
    <row r="1911" spans="1:8" ht="15">
      <c r="A1911" s="127" t="s">
        <v>947</v>
      </c>
      <c r="B1911" s="127" t="s">
        <v>1169</v>
      </c>
      <c r="C1911" s="31"/>
      <c r="D1911" s="31" t="s">
        <v>615</v>
      </c>
      <c r="G1911" s="140">
        <f t="shared" si="29"/>
        <v>1879241.67</v>
      </c>
      <c r="H1911" s="140">
        <v>0</v>
      </c>
    </row>
    <row r="1912" spans="1:8" ht="15">
      <c r="A1912" s="127" t="s">
        <v>947</v>
      </c>
      <c r="B1912" s="127" t="s">
        <v>1</v>
      </c>
      <c r="C1912" s="34"/>
      <c r="D1912" s="31" t="s">
        <v>616</v>
      </c>
      <c r="G1912" s="140">
        <f t="shared" si="29"/>
        <v>1756458.33</v>
      </c>
      <c r="H1912" s="140">
        <v>0</v>
      </c>
    </row>
    <row r="1913" spans="1:8" ht="15">
      <c r="A1913" s="127" t="s">
        <v>947</v>
      </c>
      <c r="B1913" s="127" t="s">
        <v>728</v>
      </c>
      <c r="C1913" s="34"/>
      <c r="D1913" s="31" t="s">
        <v>617</v>
      </c>
      <c r="G1913" s="140">
        <f t="shared" si="29"/>
        <v>480525.01</v>
      </c>
      <c r="H1913" s="140">
        <v>0</v>
      </c>
    </row>
    <row r="1914" spans="1:8" ht="15">
      <c r="A1914" s="127" t="s">
        <v>947</v>
      </c>
      <c r="B1914" s="127" t="s">
        <v>1064</v>
      </c>
      <c r="C1914" s="34"/>
      <c r="D1914" s="31" t="s">
        <v>19</v>
      </c>
      <c r="G1914" s="140">
        <f aca="true" t="shared" si="30" ref="G1914:G1924">G498</f>
        <v>10562863.47</v>
      </c>
      <c r="H1914" s="140">
        <v>15656358</v>
      </c>
    </row>
    <row r="1915" spans="1:8" ht="15">
      <c r="A1915" s="127" t="s">
        <v>947</v>
      </c>
      <c r="B1915" s="127" t="s">
        <v>1066</v>
      </c>
      <c r="C1915" s="31"/>
      <c r="D1915" s="31" t="s">
        <v>20</v>
      </c>
      <c r="G1915" s="140">
        <f t="shared" si="30"/>
        <v>358091.66</v>
      </c>
      <c r="H1915" s="140">
        <v>0</v>
      </c>
    </row>
    <row r="1916" spans="1:8" ht="15">
      <c r="A1916" s="127" t="s">
        <v>947</v>
      </c>
      <c r="B1916" s="127" t="s">
        <v>778</v>
      </c>
      <c r="C1916" s="34"/>
      <c r="D1916" s="31" t="s">
        <v>21</v>
      </c>
      <c r="G1916" s="140">
        <f t="shared" si="30"/>
        <v>1875840.4</v>
      </c>
      <c r="H1916" s="140">
        <v>2428757</v>
      </c>
    </row>
    <row r="1917" spans="1:8" ht="15">
      <c r="A1917" s="127" t="s">
        <v>22</v>
      </c>
      <c r="B1917" s="127" t="s">
        <v>1159</v>
      </c>
      <c r="C1917" s="31"/>
      <c r="D1917" s="31" t="s">
        <v>23</v>
      </c>
      <c r="G1917" s="140">
        <f t="shared" si="30"/>
        <v>55697331.22</v>
      </c>
      <c r="H1917" s="140">
        <v>59627273</v>
      </c>
    </row>
    <row r="1918" spans="1:8" ht="15">
      <c r="A1918" s="127" t="s">
        <v>22</v>
      </c>
      <c r="B1918" s="127" t="s">
        <v>1161</v>
      </c>
      <c r="C1918" s="31"/>
      <c r="D1918" s="31" t="s">
        <v>24</v>
      </c>
      <c r="G1918" s="140">
        <f t="shared" si="30"/>
        <v>3856990.5</v>
      </c>
      <c r="H1918" s="140">
        <v>9882053</v>
      </c>
    </row>
    <row r="1919" spans="1:8" ht="15">
      <c r="A1919" s="127" t="s">
        <v>22</v>
      </c>
      <c r="B1919" s="127" t="s">
        <v>1163</v>
      </c>
      <c r="C1919" s="31"/>
      <c r="D1919" s="31" t="s">
        <v>25</v>
      </c>
      <c r="G1919" s="140">
        <f t="shared" si="30"/>
        <v>630600</v>
      </c>
      <c r="H1919" s="140">
        <v>0</v>
      </c>
    </row>
    <row r="1920" spans="1:8" ht="15">
      <c r="A1920" s="127" t="s">
        <v>22</v>
      </c>
      <c r="B1920" s="127" t="s">
        <v>1165</v>
      </c>
      <c r="C1920" s="31"/>
      <c r="D1920" s="31" t="s">
        <v>26</v>
      </c>
      <c r="G1920" s="140">
        <f t="shared" si="30"/>
        <v>2905498</v>
      </c>
      <c r="H1920" s="140">
        <v>0</v>
      </c>
    </row>
    <row r="1921" spans="1:8" ht="15">
      <c r="A1921" s="127" t="s">
        <v>22</v>
      </c>
      <c r="B1921" s="127" t="s">
        <v>1167</v>
      </c>
      <c r="C1921" s="31"/>
      <c r="D1921" s="31" t="s">
        <v>27</v>
      </c>
      <c r="G1921" s="140">
        <f t="shared" si="30"/>
        <v>818038.07</v>
      </c>
      <c r="H1921" s="140">
        <v>1663650</v>
      </c>
    </row>
    <row r="1922" spans="1:8" ht="15">
      <c r="A1922" s="127" t="s">
        <v>22</v>
      </c>
      <c r="B1922" s="127" t="s">
        <v>1169</v>
      </c>
      <c r="C1922" s="31"/>
      <c r="D1922" s="31" t="s">
        <v>28</v>
      </c>
      <c r="G1922" s="140">
        <f t="shared" si="30"/>
        <v>37400</v>
      </c>
      <c r="H1922" s="140">
        <v>0</v>
      </c>
    </row>
    <row r="1923" spans="1:8" ht="15">
      <c r="A1923" s="127" t="s">
        <v>22</v>
      </c>
      <c r="B1923" s="127" t="s">
        <v>1</v>
      </c>
      <c r="C1923" s="34"/>
      <c r="D1923" s="31" t="s">
        <v>29</v>
      </c>
      <c r="G1923" s="140">
        <f t="shared" si="30"/>
        <v>0</v>
      </c>
      <c r="H1923" s="140">
        <v>0</v>
      </c>
    </row>
    <row r="1924" spans="1:8" ht="15">
      <c r="A1924" s="127" t="s">
        <v>22</v>
      </c>
      <c r="B1924" s="127" t="s">
        <v>728</v>
      </c>
      <c r="C1924" s="34"/>
      <c r="D1924" s="31" t="s">
        <v>30</v>
      </c>
      <c r="G1924" s="140">
        <f t="shared" si="30"/>
        <v>0</v>
      </c>
      <c r="H1924" s="140">
        <v>0</v>
      </c>
    </row>
    <row r="1925" spans="1:8" ht="15">
      <c r="A1925" s="127" t="s">
        <v>22</v>
      </c>
      <c r="B1925" s="127" t="s">
        <v>1064</v>
      </c>
      <c r="C1925" s="34"/>
      <c r="D1925" s="31" t="s">
        <v>179</v>
      </c>
      <c r="G1925" s="140">
        <f>G529</f>
        <v>5992595</v>
      </c>
      <c r="H1925" s="140">
        <v>3042366</v>
      </c>
    </row>
    <row r="1926" spans="1:8" ht="15">
      <c r="A1926" s="127" t="s">
        <v>22</v>
      </c>
      <c r="B1926" s="127" t="s">
        <v>1066</v>
      </c>
      <c r="C1926" s="31"/>
      <c r="D1926" s="31" t="s">
        <v>470</v>
      </c>
      <c r="G1926" s="140">
        <f>G530</f>
        <v>0</v>
      </c>
      <c r="H1926" s="140">
        <v>0</v>
      </c>
    </row>
    <row r="1927" spans="1:8" ht="15">
      <c r="A1927" s="127" t="s">
        <v>22</v>
      </c>
      <c r="B1927" s="127" t="s">
        <v>778</v>
      </c>
      <c r="C1927" s="34"/>
      <c r="D1927" s="31" t="s">
        <v>471</v>
      </c>
      <c r="G1927" s="140">
        <f>G531</f>
        <v>502060</v>
      </c>
      <c r="H1927" s="140">
        <v>447500</v>
      </c>
    </row>
    <row r="1928" spans="1:8" ht="15">
      <c r="A1928" s="127" t="s">
        <v>590</v>
      </c>
      <c r="B1928" s="127" t="s">
        <v>1159</v>
      </c>
      <c r="C1928" s="34"/>
      <c r="D1928" s="31" t="s">
        <v>591</v>
      </c>
      <c r="G1928" s="140">
        <f>G558</f>
        <v>22948980.169999994</v>
      </c>
      <c r="H1928" s="140">
        <v>32084591</v>
      </c>
    </row>
    <row r="1929" spans="2:8" ht="15">
      <c r="B1929" s="31"/>
      <c r="C1929" s="136"/>
      <c r="D1929" s="81" t="s">
        <v>943</v>
      </c>
      <c r="E1929" s="81"/>
      <c r="F1929" s="81"/>
      <c r="G1929" s="149">
        <f>SUM(G1894:G1928)</f>
        <v>178362163.46</v>
      </c>
      <c r="H1929" s="149">
        <f>SUM(H1894:H1928)</f>
        <v>223809367</v>
      </c>
    </row>
    <row r="1930" spans="7:8" ht="15">
      <c r="G1930" s="140"/>
      <c r="H1930" s="140"/>
    </row>
    <row r="1931" spans="7:8" ht="15">
      <c r="G1931" s="140"/>
      <c r="H1931" s="140"/>
    </row>
    <row r="1932" spans="2:8" ht="15">
      <c r="B1932" s="132"/>
      <c r="C1932" s="74">
        <v>307550</v>
      </c>
      <c r="D1932" s="75" t="s">
        <v>346</v>
      </c>
      <c r="G1932" s="140"/>
      <c r="H1932" s="140"/>
    </row>
    <row r="1933" spans="1:8" ht="15">
      <c r="A1933" s="127" t="s">
        <v>704</v>
      </c>
      <c r="B1933" s="127" t="s">
        <v>1159</v>
      </c>
      <c r="C1933" s="31"/>
      <c r="D1933" s="31" t="s">
        <v>589</v>
      </c>
      <c r="E1933" s="75"/>
      <c r="G1933" s="140">
        <f>G557</f>
        <v>1952213407</v>
      </c>
      <c r="H1933" s="140">
        <v>2003855267</v>
      </c>
    </row>
    <row r="1934" spans="1:8" ht="15">
      <c r="A1934" s="81"/>
      <c r="B1934" s="150"/>
      <c r="C1934" s="136"/>
      <c r="D1934" s="81" t="s">
        <v>943</v>
      </c>
      <c r="E1934" s="81"/>
      <c r="F1934" s="81"/>
      <c r="G1934" s="149">
        <f>SUM(G1933)</f>
        <v>1952213407</v>
      </c>
      <c r="H1934" s="149">
        <f>SUM(H1933)</f>
        <v>2003855267</v>
      </c>
    </row>
    <row r="1935" spans="2:8" ht="15">
      <c r="B1935" s="31"/>
      <c r="C1935" s="73"/>
      <c r="G1935" s="140"/>
      <c r="H1935" s="140"/>
    </row>
    <row r="1936" spans="2:8" ht="15">
      <c r="B1936" s="132"/>
      <c r="C1936" s="74">
        <v>307750</v>
      </c>
      <c r="D1936" s="75" t="s">
        <v>1088</v>
      </c>
      <c r="G1936" s="140"/>
      <c r="H1936" s="140"/>
    </row>
    <row r="1937" spans="1:8" ht="15">
      <c r="A1937" s="127" t="s">
        <v>1398</v>
      </c>
      <c r="B1937" s="127" t="s">
        <v>1167</v>
      </c>
      <c r="C1937" s="34"/>
      <c r="D1937" s="31" t="s">
        <v>840</v>
      </c>
      <c r="E1937" s="75"/>
      <c r="G1937" s="140">
        <f>G418</f>
        <v>630811280.6299999</v>
      </c>
      <c r="H1937" s="140">
        <v>724135136</v>
      </c>
    </row>
    <row r="1938" spans="1:8" ht="15">
      <c r="A1938" s="127" t="s">
        <v>1398</v>
      </c>
      <c r="B1938" s="127" t="s">
        <v>841</v>
      </c>
      <c r="C1938" s="34"/>
      <c r="D1938" s="31" t="s">
        <v>842</v>
      </c>
      <c r="G1938" s="140">
        <f>G419</f>
        <v>104591387.41000003</v>
      </c>
      <c r="H1938" s="140">
        <f>72759602+7417254</f>
        <v>80176856</v>
      </c>
    </row>
    <row r="1939" spans="1:8" ht="15">
      <c r="A1939" s="127" t="s">
        <v>947</v>
      </c>
      <c r="B1939" s="127" t="s">
        <v>841</v>
      </c>
      <c r="C1939" s="34"/>
      <c r="D1939" s="31" t="s">
        <v>618</v>
      </c>
      <c r="G1939" s="140">
        <f>G477</f>
        <v>28187723.009999998</v>
      </c>
      <c r="H1939" s="140">
        <v>13142516</v>
      </c>
    </row>
    <row r="1940" spans="1:8" ht="15">
      <c r="A1940" s="127" t="s">
        <v>472</v>
      </c>
      <c r="B1940" s="127" t="s">
        <v>1159</v>
      </c>
      <c r="C1940" s="34"/>
      <c r="D1940" s="31" t="s">
        <v>473</v>
      </c>
      <c r="G1940" s="140">
        <f>G532</f>
        <v>0</v>
      </c>
      <c r="H1940" s="140">
        <v>0</v>
      </c>
    </row>
    <row r="1941" spans="1:8" ht="15">
      <c r="A1941" s="127" t="s">
        <v>478</v>
      </c>
      <c r="B1941" s="127" t="s">
        <v>1159</v>
      </c>
      <c r="C1941" s="34"/>
      <c r="D1941" s="31" t="s">
        <v>479</v>
      </c>
      <c r="G1941" s="140">
        <f>G535</f>
        <v>0</v>
      </c>
      <c r="H1941" s="140">
        <v>0</v>
      </c>
    </row>
    <row r="1942" spans="1:8" ht="15">
      <c r="A1942" s="127" t="s">
        <v>486</v>
      </c>
      <c r="B1942" s="138" t="s">
        <v>1159</v>
      </c>
      <c r="C1942" s="34"/>
      <c r="D1942" s="31" t="s">
        <v>487</v>
      </c>
      <c r="G1942" s="140">
        <f>G539</f>
        <v>4295575</v>
      </c>
      <c r="H1942" s="140">
        <v>0</v>
      </c>
    </row>
    <row r="1943" spans="1:8" ht="15">
      <c r="A1943" s="127" t="s">
        <v>486</v>
      </c>
      <c r="B1943" s="127" t="s">
        <v>841</v>
      </c>
      <c r="C1943" s="34"/>
      <c r="D1943" s="31" t="s">
        <v>488</v>
      </c>
      <c r="G1943" s="140">
        <f>G540</f>
        <v>86928550.75999999</v>
      </c>
      <c r="H1943" s="140">
        <v>42868257</v>
      </c>
    </row>
    <row r="1944" spans="1:8" ht="15">
      <c r="A1944" s="127" t="s">
        <v>486</v>
      </c>
      <c r="B1944" s="127" t="s">
        <v>1064</v>
      </c>
      <c r="C1944" s="34"/>
      <c r="D1944" s="31" t="s">
        <v>489</v>
      </c>
      <c r="G1944" s="140">
        <f>G541</f>
        <v>2992100</v>
      </c>
      <c r="H1944" s="140">
        <v>1503450</v>
      </c>
    </row>
    <row r="1945" spans="1:8" ht="15">
      <c r="A1945" s="127" t="s">
        <v>486</v>
      </c>
      <c r="B1945" s="127" t="s">
        <v>778</v>
      </c>
      <c r="C1945" s="34"/>
      <c r="D1945" s="31" t="s">
        <v>490</v>
      </c>
      <c r="G1945" s="140">
        <f>G542</f>
        <v>3829000</v>
      </c>
      <c r="H1945" s="140">
        <v>0</v>
      </c>
    </row>
    <row r="1946" spans="1:8" ht="15">
      <c r="A1946" s="127" t="s">
        <v>493</v>
      </c>
      <c r="B1946" s="127" t="s">
        <v>1159</v>
      </c>
      <c r="C1946" s="34"/>
      <c r="D1946" s="31" t="s">
        <v>56</v>
      </c>
      <c r="G1946" s="140">
        <f>G544</f>
        <v>3060000</v>
      </c>
      <c r="H1946" s="140"/>
    </row>
    <row r="1947" spans="1:8" ht="15">
      <c r="A1947" s="127" t="s">
        <v>708</v>
      </c>
      <c r="B1947" s="127" t="s">
        <v>1159</v>
      </c>
      <c r="C1947" s="34"/>
      <c r="D1947" s="31" t="s">
        <v>709</v>
      </c>
      <c r="G1947" s="140">
        <f>G546</f>
        <v>45869786.16</v>
      </c>
      <c r="H1947" s="140">
        <v>53709168</v>
      </c>
    </row>
    <row r="1948" spans="1:8" ht="15">
      <c r="A1948" s="127" t="s">
        <v>708</v>
      </c>
      <c r="B1948" s="127" t="s">
        <v>1402</v>
      </c>
      <c r="C1948" s="34"/>
      <c r="D1948" s="31" t="s">
        <v>710</v>
      </c>
      <c r="G1948" s="140">
        <f>G547</f>
        <v>0</v>
      </c>
      <c r="H1948" s="140"/>
    </row>
    <row r="1949" spans="1:8" ht="15">
      <c r="A1949" s="127" t="s">
        <v>712</v>
      </c>
      <c r="B1949" s="138" t="s">
        <v>1064</v>
      </c>
      <c r="C1949" s="34"/>
      <c r="D1949" s="139" t="s">
        <v>713</v>
      </c>
      <c r="G1949" s="140">
        <f>G549</f>
        <v>7580141</v>
      </c>
      <c r="H1949" s="140">
        <v>42021535</v>
      </c>
    </row>
    <row r="1950" spans="1:8" ht="15">
      <c r="A1950" s="127" t="s">
        <v>717</v>
      </c>
      <c r="B1950" s="127" t="s">
        <v>1159</v>
      </c>
      <c r="C1950" s="34"/>
      <c r="D1950" s="31" t="s">
        <v>718</v>
      </c>
      <c r="G1950" s="140">
        <f>G552</f>
        <v>0</v>
      </c>
      <c r="H1950" s="140">
        <v>0</v>
      </c>
    </row>
    <row r="1951" spans="1:8" ht="15">
      <c r="A1951" s="127" t="s">
        <v>65</v>
      </c>
      <c r="B1951" s="127" t="s">
        <v>1402</v>
      </c>
      <c r="C1951" s="34"/>
      <c r="D1951" s="31" t="s">
        <v>66</v>
      </c>
      <c r="G1951" s="140">
        <f>G553</f>
        <v>0</v>
      </c>
      <c r="H1951" s="144">
        <v>0</v>
      </c>
    </row>
    <row r="1952" spans="1:8" ht="15">
      <c r="A1952" s="127" t="s">
        <v>67</v>
      </c>
      <c r="B1952" s="138" t="s">
        <v>1159</v>
      </c>
      <c r="C1952" s="34"/>
      <c r="D1952" s="31" t="s">
        <v>68</v>
      </c>
      <c r="G1952" s="140">
        <f>G554</f>
        <v>72129916</v>
      </c>
      <c r="H1952" s="140">
        <v>125707472</v>
      </c>
    </row>
    <row r="1953" spans="1:8" ht="15">
      <c r="A1953" s="127" t="s">
        <v>69</v>
      </c>
      <c r="B1953" s="127" t="s">
        <v>70</v>
      </c>
      <c r="C1953" s="34"/>
      <c r="D1953" s="31" t="s">
        <v>701</v>
      </c>
      <c r="G1953" s="140">
        <f>G555</f>
        <v>0</v>
      </c>
      <c r="H1953" s="140">
        <v>0</v>
      </c>
    </row>
    <row r="1954" spans="1:8" ht="15">
      <c r="A1954" s="127" t="s">
        <v>593</v>
      </c>
      <c r="B1954" s="127" t="s">
        <v>1064</v>
      </c>
      <c r="C1954" s="34"/>
      <c r="D1954" s="31" t="s">
        <v>594</v>
      </c>
      <c r="G1954" s="140">
        <f>G560</f>
        <v>7975000</v>
      </c>
      <c r="H1954" s="144">
        <v>14622951</v>
      </c>
    </row>
    <row r="1955" spans="1:8" ht="15">
      <c r="A1955" s="39" t="s">
        <v>1245</v>
      </c>
      <c r="B1955" s="39" t="s">
        <v>1159</v>
      </c>
      <c r="C1955" s="36"/>
      <c r="D1955" s="153" t="s">
        <v>1246</v>
      </c>
      <c r="G1955" s="140">
        <f>G569</f>
        <v>73490000</v>
      </c>
      <c r="H1955" s="144"/>
    </row>
    <row r="1956" spans="1:8" ht="15">
      <c r="A1956" s="127" t="s">
        <v>1552</v>
      </c>
      <c r="B1956" s="127" t="s">
        <v>1167</v>
      </c>
      <c r="C1956" s="34"/>
      <c r="D1956" s="31" t="s">
        <v>1553</v>
      </c>
      <c r="G1956" s="140">
        <f aca="true" t="shared" si="31" ref="G1956:G1961">G577</f>
        <v>50052423</v>
      </c>
      <c r="H1956" s="140">
        <v>28680177</v>
      </c>
    </row>
    <row r="1957" spans="1:8" ht="15">
      <c r="A1957" s="127" t="s">
        <v>1554</v>
      </c>
      <c r="B1957" s="127" t="s">
        <v>1159</v>
      </c>
      <c r="C1957" s="34"/>
      <c r="D1957" s="31" t="s">
        <v>1555</v>
      </c>
      <c r="G1957" s="140">
        <f t="shared" si="31"/>
        <v>2112342.76</v>
      </c>
      <c r="H1957" s="140">
        <v>3335855</v>
      </c>
    </row>
    <row r="1958" spans="1:8" ht="15">
      <c r="A1958" s="127" t="s">
        <v>1554</v>
      </c>
      <c r="B1958" s="127" t="s">
        <v>70</v>
      </c>
      <c r="C1958" s="34"/>
      <c r="D1958" s="31" t="s">
        <v>1556</v>
      </c>
      <c r="G1958" s="140">
        <f t="shared" si="31"/>
        <v>0</v>
      </c>
      <c r="H1958" s="140">
        <v>24211240</v>
      </c>
    </row>
    <row r="1959" spans="1:8" ht="15">
      <c r="A1959" s="127" t="s">
        <v>1554</v>
      </c>
      <c r="B1959" s="127" t="s">
        <v>1161</v>
      </c>
      <c r="C1959" s="34"/>
      <c r="D1959" s="31" t="s">
        <v>1557</v>
      </c>
      <c r="G1959" s="140">
        <f t="shared" si="31"/>
        <v>3232906.29</v>
      </c>
      <c r="H1959" s="140">
        <v>4417177</v>
      </c>
    </row>
    <row r="1960" spans="1:8" ht="15">
      <c r="A1960" s="127" t="s">
        <v>1554</v>
      </c>
      <c r="B1960" s="127" t="s">
        <v>1167</v>
      </c>
      <c r="C1960" s="34"/>
      <c r="D1960" s="31" t="s">
        <v>1558</v>
      </c>
      <c r="G1960" s="140">
        <f t="shared" si="31"/>
        <v>9910091.99</v>
      </c>
      <c r="H1960" s="140">
        <v>24476445</v>
      </c>
    </row>
    <row r="1961" spans="1:8" ht="15">
      <c r="A1961" s="127" t="s">
        <v>1554</v>
      </c>
      <c r="B1961" s="127" t="s">
        <v>841</v>
      </c>
      <c r="C1961" s="34"/>
      <c r="D1961" s="31" t="s">
        <v>1559</v>
      </c>
      <c r="G1961" s="140">
        <f t="shared" si="31"/>
        <v>7499315.91</v>
      </c>
      <c r="H1961" s="140">
        <v>0</v>
      </c>
    </row>
    <row r="1962" spans="1:8" ht="15">
      <c r="A1962" s="127" t="s">
        <v>1554</v>
      </c>
      <c r="B1962" s="138" t="s">
        <v>1064</v>
      </c>
      <c r="C1962" s="34"/>
      <c r="D1962" s="31" t="s">
        <v>1639</v>
      </c>
      <c r="G1962" s="140">
        <f>G593</f>
        <v>9920006.7</v>
      </c>
      <c r="H1962" s="140">
        <v>2141794</v>
      </c>
    </row>
    <row r="1963" spans="1:8" ht="15">
      <c r="A1963" s="127" t="s">
        <v>1554</v>
      </c>
      <c r="B1963" s="138" t="s">
        <v>1066</v>
      </c>
      <c r="C1963" s="34"/>
      <c r="D1963" s="31" t="s">
        <v>1315</v>
      </c>
      <c r="G1963" s="140">
        <f>G594</f>
        <v>197843.88</v>
      </c>
      <c r="H1963" s="140"/>
    </row>
    <row r="1964" spans="1:8" ht="15">
      <c r="A1964" s="127" t="s">
        <v>1595</v>
      </c>
      <c r="B1964" s="138" t="s">
        <v>778</v>
      </c>
      <c r="C1964" s="31"/>
      <c r="D1964" s="31" t="s">
        <v>892</v>
      </c>
      <c r="G1964" s="140">
        <f>G607</f>
        <v>87807654</v>
      </c>
      <c r="H1964" s="140">
        <v>106208560</v>
      </c>
    </row>
    <row r="1965" spans="1:8" ht="15">
      <c r="A1965" s="127" t="s">
        <v>893</v>
      </c>
      <c r="B1965" s="127" t="s">
        <v>1167</v>
      </c>
      <c r="C1965" s="31"/>
      <c r="D1965" s="31" t="s">
        <v>894</v>
      </c>
      <c r="G1965" s="140">
        <f>G608</f>
        <v>49054320.84</v>
      </c>
      <c r="H1965" s="140">
        <v>48159654</v>
      </c>
    </row>
    <row r="1967" spans="1:8" ht="15">
      <c r="A1967" s="81"/>
      <c r="B1967" s="150"/>
      <c r="C1967" s="136"/>
      <c r="D1967" s="81" t="s">
        <v>943</v>
      </c>
      <c r="E1967" s="81"/>
      <c r="F1967" s="81"/>
      <c r="G1967" s="149">
        <f>SUM(G1937:G1966)</f>
        <v>1291527365.34</v>
      </c>
      <c r="H1967" s="149">
        <f>SUM(H1937:H1966)</f>
        <v>1339518243</v>
      </c>
    </row>
    <row r="1968" spans="2:8" ht="15">
      <c r="B1968" s="31"/>
      <c r="C1968" s="73"/>
      <c r="G1968" s="140"/>
      <c r="H1968" s="140"/>
    </row>
    <row r="1969" spans="2:8" ht="15">
      <c r="B1969" s="31"/>
      <c r="C1969" s="73"/>
      <c r="G1969" s="140"/>
      <c r="H1969" s="140"/>
    </row>
    <row r="1970" spans="2:8" ht="15">
      <c r="B1970" s="31"/>
      <c r="C1970" s="73"/>
      <c r="D1970" s="8" t="s">
        <v>1089</v>
      </c>
      <c r="E1970" s="75"/>
      <c r="G1970" s="144"/>
      <c r="H1970" s="140"/>
    </row>
    <row r="1971" spans="2:8" ht="15">
      <c r="B1971" s="132"/>
      <c r="C1971" s="74">
        <v>309160</v>
      </c>
      <c r="D1971" s="75" t="s">
        <v>1090</v>
      </c>
      <c r="G1971" s="140"/>
      <c r="H1971" s="140"/>
    </row>
    <row r="1972" spans="1:8" ht="15">
      <c r="A1972" s="127" t="s">
        <v>1999</v>
      </c>
      <c r="B1972" s="31"/>
      <c r="C1972" s="34"/>
      <c r="D1972" s="31" t="s">
        <v>2000</v>
      </c>
      <c r="G1972" s="140">
        <f>H151</f>
        <v>27055027</v>
      </c>
      <c r="H1972" s="140">
        <v>14943667</v>
      </c>
    </row>
    <row r="1973" spans="2:8" ht="15">
      <c r="B1973" s="31"/>
      <c r="C1973" s="73"/>
      <c r="G1973" s="140"/>
      <c r="H1973" s="140"/>
    </row>
    <row r="1974" spans="1:8" ht="15">
      <c r="A1974" s="81"/>
      <c r="B1974" s="150"/>
      <c r="C1974" s="136"/>
      <c r="D1974" s="81" t="s">
        <v>943</v>
      </c>
      <c r="E1974" s="81"/>
      <c r="F1974" s="81"/>
      <c r="G1974" s="149">
        <f>SUM(G1972:G1973)</f>
        <v>27055027</v>
      </c>
      <c r="H1974" s="149">
        <f>SUM(H1972:H1973)</f>
        <v>14943667</v>
      </c>
    </row>
    <row r="1975" spans="2:8" ht="15">
      <c r="B1975" s="31"/>
      <c r="C1975" s="73"/>
      <c r="G1975" s="140"/>
      <c r="H1975" s="140"/>
    </row>
    <row r="1976" spans="2:8" ht="15">
      <c r="B1976" s="132"/>
      <c r="C1976" s="74">
        <v>309190</v>
      </c>
      <c r="D1976" s="75" t="s">
        <v>352</v>
      </c>
      <c r="G1976" s="140"/>
      <c r="H1976" s="140"/>
    </row>
    <row r="1977" spans="1:8" ht="15">
      <c r="A1977" s="127" t="s">
        <v>2001</v>
      </c>
      <c r="B1977" s="31"/>
      <c r="C1977" s="34"/>
      <c r="D1977" s="31" t="s">
        <v>2002</v>
      </c>
      <c r="E1977" s="75"/>
      <c r="G1977" s="140">
        <f>H152</f>
        <v>23166547</v>
      </c>
      <c r="H1977" s="140">
        <v>2549011</v>
      </c>
    </row>
    <row r="1978" spans="1:8" ht="15">
      <c r="A1978" s="81"/>
      <c r="B1978" s="150"/>
      <c r="C1978" s="136"/>
      <c r="D1978" s="81" t="s">
        <v>943</v>
      </c>
      <c r="E1978" s="81"/>
      <c r="F1978" s="81"/>
      <c r="G1978" s="149">
        <f>SUM(G1977)</f>
        <v>23166547</v>
      </c>
      <c r="H1978" s="149">
        <f>SUM(H1977)</f>
        <v>2549011</v>
      </c>
    </row>
    <row r="1979" spans="2:8" ht="15">
      <c r="B1979" s="31"/>
      <c r="C1979" s="73"/>
      <c r="G1979" s="140"/>
      <c r="H1979" s="140"/>
    </row>
    <row r="1980" spans="2:8" ht="15">
      <c r="B1980" s="132"/>
      <c r="C1980" s="74">
        <v>309260</v>
      </c>
      <c r="D1980" s="75" t="s">
        <v>354</v>
      </c>
      <c r="G1980" s="140"/>
      <c r="H1980" s="140"/>
    </row>
    <row r="1981" spans="1:8" ht="15">
      <c r="A1981" s="127" t="s">
        <v>2007</v>
      </c>
      <c r="B1981" s="31"/>
      <c r="C1981" s="34"/>
      <c r="D1981" s="31" t="s">
        <v>2008</v>
      </c>
      <c r="E1981" s="75"/>
      <c r="G1981" s="140">
        <f>H155</f>
        <v>967885110</v>
      </c>
      <c r="H1981" s="140">
        <v>161039728</v>
      </c>
    </row>
    <row r="1982" spans="1:8" ht="15">
      <c r="A1982" s="127" t="s">
        <v>2009</v>
      </c>
      <c r="B1982" s="31"/>
      <c r="C1982" s="31"/>
      <c r="D1982" s="31" t="s">
        <v>2010</v>
      </c>
      <c r="G1982" s="140">
        <f>H156-G156</f>
        <v>0</v>
      </c>
      <c r="H1982" s="140">
        <v>2844873</v>
      </c>
    </row>
    <row r="1983" spans="1:8" ht="15">
      <c r="A1983" s="127" t="s">
        <v>2015</v>
      </c>
      <c r="B1983" s="31"/>
      <c r="C1983" s="34"/>
      <c r="D1983" s="31" t="s">
        <v>2016</v>
      </c>
      <c r="G1983" s="140">
        <f>H159</f>
        <v>1000000</v>
      </c>
      <c r="H1983" s="140">
        <v>21301385</v>
      </c>
    </row>
    <row r="1984" spans="1:8" ht="15">
      <c r="A1984" s="81"/>
      <c r="B1984" s="150"/>
      <c r="C1984" s="136"/>
      <c r="D1984" s="81" t="s">
        <v>943</v>
      </c>
      <c r="E1984" s="81"/>
      <c r="F1984" s="81"/>
      <c r="G1984" s="149">
        <f>SUM(G1981:G1983)</f>
        <v>968885110</v>
      </c>
      <c r="H1984" s="149">
        <f>SUM(H1981:H1983)</f>
        <v>185185986</v>
      </c>
    </row>
    <row r="1985" spans="2:8" ht="15">
      <c r="B1985" s="31"/>
      <c r="C1985" s="73"/>
      <c r="G1985" s="140"/>
      <c r="H1985" s="144"/>
    </row>
    <row r="1986" spans="2:8" ht="15">
      <c r="B1986" s="31"/>
      <c r="C1986" s="73"/>
      <c r="G1986" s="140"/>
      <c r="H1986" s="140"/>
    </row>
    <row r="1987" spans="2:8" ht="15">
      <c r="B1987" s="132"/>
      <c r="C1987" s="74">
        <v>309720</v>
      </c>
      <c r="D1987" s="75" t="s">
        <v>1091</v>
      </c>
      <c r="G1987" s="140"/>
      <c r="H1987" s="140"/>
    </row>
    <row r="1988" spans="1:8" ht="15">
      <c r="A1988" s="127" t="s">
        <v>598</v>
      </c>
      <c r="B1988" s="127" t="s">
        <v>1167</v>
      </c>
      <c r="C1988" s="34"/>
      <c r="D1988" s="31" t="s">
        <v>1235</v>
      </c>
      <c r="G1988" s="140"/>
      <c r="H1988" s="140">
        <v>0</v>
      </c>
    </row>
    <row r="1989" spans="1:8" ht="15">
      <c r="A1989" s="127" t="s">
        <v>1236</v>
      </c>
      <c r="B1989" s="127" t="s">
        <v>1167</v>
      </c>
      <c r="C1989" s="34"/>
      <c r="D1989" s="31" t="s">
        <v>1237</v>
      </c>
      <c r="G1989" s="140">
        <f>G564</f>
        <v>17095761</v>
      </c>
      <c r="H1989" s="140">
        <v>-43032021</v>
      </c>
    </row>
    <row r="1990" spans="1:8" ht="15">
      <c r="A1990" s="127" t="s">
        <v>1238</v>
      </c>
      <c r="B1990" s="127" t="s">
        <v>1161</v>
      </c>
      <c r="C1990" s="34"/>
      <c r="D1990" s="31" t="s">
        <v>1239</v>
      </c>
      <c r="G1990" s="140">
        <f>G565</f>
        <v>11666865</v>
      </c>
      <c r="H1990" s="140"/>
    </row>
    <row r="1991" spans="1:8" ht="15">
      <c r="A1991" s="127" t="s">
        <v>1238</v>
      </c>
      <c r="B1991" s="127" t="s">
        <v>1057</v>
      </c>
      <c r="C1991" s="34"/>
      <c r="D1991" s="31" t="s">
        <v>1239</v>
      </c>
      <c r="G1991" s="140"/>
      <c r="H1991" s="140">
        <v>0</v>
      </c>
    </row>
    <row r="1992" spans="1:8" ht="15">
      <c r="A1992" s="127" t="s">
        <v>1240</v>
      </c>
      <c r="B1992" s="127" t="s">
        <v>1241</v>
      </c>
      <c r="C1992" s="31"/>
      <c r="D1992" s="31" t="s">
        <v>1242</v>
      </c>
      <c r="E1992" s="75"/>
      <c r="G1992" s="144"/>
      <c r="H1992" s="140">
        <v>0</v>
      </c>
    </row>
    <row r="1993" spans="1:8" ht="15">
      <c r="A1993" s="81"/>
      <c r="B1993" s="150"/>
      <c r="C1993" s="136"/>
      <c r="D1993" s="81" t="s">
        <v>943</v>
      </c>
      <c r="E1993" s="81"/>
      <c r="F1993" s="81"/>
      <c r="G1993" s="149">
        <f>SUM(G1988:G1992)</f>
        <v>28762626</v>
      </c>
      <c r="H1993" s="149">
        <f>SUM(H1988:H1992)</f>
        <v>-43032021</v>
      </c>
    </row>
    <row r="1994" spans="2:8" ht="15">
      <c r="B1994" s="31"/>
      <c r="C1994" s="73"/>
      <c r="G1994" s="140"/>
      <c r="H1994" s="140"/>
    </row>
    <row r="1995" spans="2:8" ht="15">
      <c r="B1995" s="132"/>
      <c r="C1995" s="74">
        <v>309730</v>
      </c>
      <c r="D1995" s="75" t="s">
        <v>357</v>
      </c>
      <c r="G1995" s="140"/>
      <c r="H1995" s="140"/>
    </row>
    <row r="1996" spans="1:8" ht="15">
      <c r="A1996" s="127" t="s">
        <v>484</v>
      </c>
      <c r="B1996" s="127" t="s">
        <v>1161</v>
      </c>
      <c r="C1996" s="34"/>
      <c r="D1996" s="31" t="s">
        <v>485</v>
      </c>
      <c r="G1996" s="140">
        <f>G538</f>
        <v>1895010</v>
      </c>
      <c r="H1996" s="140">
        <v>14263114</v>
      </c>
    </row>
    <row r="1997" spans="1:8" ht="15">
      <c r="A1997" s="127" t="s">
        <v>1955</v>
      </c>
      <c r="B1997" s="127" t="s">
        <v>1161</v>
      </c>
      <c r="C1997" s="34"/>
      <c r="D1997" s="31" t="s">
        <v>1956</v>
      </c>
      <c r="G1997" s="140">
        <f>G629</f>
        <v>210421454</v>
      </c>
      <c r="H1997" s="140">
        <v>282165852</v>
      </c>
    </row>
    <row r="1998" spans="1:8" ht="15">
      <c r="A1998" s="127" t="s">
        <v>1957</v>
      </c>
      <c r="B1998" s="127" t="s">
        <v>1064</v>
      </c>
      <c r="C1998" s="34"/>
      <c r="D1998" s="31" t="s">
        <v>1958</v>
      </c>
      <c r="G1998" s="140">
        <f>G630</f>
        <v>27905349</v>
      </c>
      <c r="H1998" s="140">
        <v>29323290</v>
      </c>
    </row>
    <row r="1999" spans="1:8" ht="15">
      <c r="A1999" s="81"/>
      <c r="B1999" s="150"/>
      <c r="C1999" s="136"/>
      <c r="D1999" s="81" t="s">
        <v>943</v>
      </c>
      <c r="G1999" s="149">
        <f>SUM(G1996:G1998)</f>
        <v>240221813</v>
      </c>
      <c r="H1999" s="149">
        <f>SUM(H1996:H1998)</f>
        <v>325752256</v>
      </c>
    </row>
    <row r="2000" spans="1:8" ht="15">
      <c r="A2000" s="127"/>
      <c r="B2000" s="127"/>
      <c r="C2000" s="31"/>
      <c r="D2000" s="31"/>
      <c r="G2000" s="140"/>
      <c r="H2000" s="140"/>
    </row>
    <row r="2001" spans="1:8" ht="15">
      <c r="A2001" s="127"/>
      <c r="B2001" s="127"/>
      <c r="C2001" s="34"/>
      <c r="D2001" s="31"/>
      <c r="G2001" s="140"/>
      <c r="H2001" s="140"/>
    </row>
    <row r="2002" spans="2:8" ht="15">
      <c r="B2002" s="31"/>
      <c r="C2002" s="73"/>
      <c r="D2002" s="8" t="s">
        <v>1092</v>
      </c>
      <c r="G2002" s="140"/>
      <c r="H2002" s="140"/>
    </row>
    <row r="2003" spans="2:8" ht="15">
      <c r="B2003" s="132"/>
      <c r="C2003" s="74">
        <v>311850</v>
      </c>
      <c r="D2003" s="75" t="s">
        <v>72</v>
      </c>
      <c r="G2003" s="140"/>
      <c r="H2003" s="140"/>
    </row>
    <row r="2004" spans="1:8" ht="15">
      <c r="A2004" s="127" t="s">
        <v>1837</v>
      </c>
      <c r="B2004" s="127" t="s">
        <v>1159</v>
      </c>
      <c r="C2004" s="34"/>
      <c r="D2004" s="31" t="s">
        <v>1838</v>
      </c>
      <c r="G2004" s="140">
        <f aca="true" t="shared" si="32" ref="G2004:G2011">G617</f>
        <v>5440488</v>
      </c>
      <c r="H2004" s="140">
        <v>5429886</v>
      </c>
    </row>
    <row r="2005" spans="1:8" ht="15">
      <c r="A2005" s="127" t="s">
        <v>1839</v>
      </c>
      <c r="B2005" s="127" t="s">
        <v>2041</v>
      </c>
      <c r="C2005" s="34"/>
      <c r="D2005" s="31" t="s">
        <v>1934</v>
      </c>
      <c r="G2005" s="140">
        <f t="shared" si="32"/>
        <v>43625422</v>
      </c>
      <c r="H2005" s="140">
        <v>39854965</v>
      </c>
    </row>
    <row r="2006" spans="1:8" ht="15">
      <c r="A2006" s="127" t="s">
        <v>1935</v>
      </c>
      <c r="B2006" s="127" t="s">
        <v>2041</v>
      </c>
      <c r="C2006" s="34"/>
      <c r="D2006" s="31" t="s">
        <v>1936</v>
      </c>
      <c r="E2006" s="75"/>
      <c r="G2006" s="140">
        <f t="shared" si="32"/>
        <v>2057841059</v>
      </c>
      <c r="H2006" s="140">
        <v>1141286384</v>
      </c>
    </row>
    <row r="2007" spans="1:8" ht="15">
      <c r="A2007" s="127" t="s">
        <v>1937</v>
      </c>
      <c r="B2007" s="127" t="s">
        <v>2041</v>
      </c>
      <c r="C2007" s="34"/>
      <c r="D2007" s="31" t="s">
        <v>1938</v>
      </c>
      <c r="G2007" s="140">
        <f t="shared" si="32"/>
        <v>0</v>
      </c>
      <c r="H2007" s="140"/>
    </row>
    <row r="2008" spans="1:8" ht="15">
      <c r="A2008" s="127" t="s">
        <v>1939</v>
      </c>
      <c r="B2008" s="127" t="s">
        <v>70</v>
      </c>
      <c r="C2008" s="34"/>
      <c r="D2008" s="31" t="s">
        <v>1940</v>
      </c>
      <c r="G2008" s="140">
        <f t="shared" si="32"/>
        <v>263826170</v>
      </c>
      <c r="H2008" s="140">
        <v>223944005</v>
      </c>
    </row>
    <row r="2009" spans="1:8" ht="15">
      <c r="A2009" s="127" t="s">
        <v>1941</v>
      </c>
      <c r="B2009" s="127" t="s">
        <v>778</v>
      </c>
      <c r="C2009" s="34"/>
      <c r="D2009" s="31" t="s">
        <v>1942</v>
      </c>
      <c r="G2009" s="140">
        <f t="shared" si="32"/>
        <v>126372372</v>
      </c>
      <c r="H2009" s="140">
        <v>108157624</v>
      </c>
    </row>
    <row r="2010" spans="1:8" ht="15">
      <c r="A2010" s="127" t="s">
        <v>1943</v>
      </c>
      <c r="B2010" s="127" t="s">
        <v>70</v>
      </c>
      <c r="C2010" s="31"/>
      <c r="D2010" s="31" t="s">
        <v>1944</v>
      </c>
      <c r="G2010" s="140">
        <f t="shared" si="32"/>
        <v>56004874</v>
      </c>
      <c r="H2010" s="140">
        <v>93885537</v>
      </c>
    </row>
    <row r="2011" spans="1:8" ht="17.25">
      <c r="A2011" s="127" t="s">
        <v>1945</v>
      </c>
      <c r="B2011" s="127" t="s">
        <v>70</v>
      </c>
      <c r="C2011" s="132"/>
      <c r="D2011" s="31" t="s">
        <v>1946</v>
      </c>
      <c r="E2011" s="75"/>
      <c r="F2011" s="75"/>
      <c r="G2011" s="142">
        <f t="shared" si="32"/>
        <v>28430861</v>
      </c>
      <c r="H2011" s="154">
        <v>0</v>
      </c>
    </row>
    <row r="2012" spans="1:8" ht="17.25">
      <c r="A2012" s="81"/>
      <c r="B2012" s="150"/>
      <c r="C2012" s="136"/>
      <c r="D2012" s="81" t="s">
        <v>943</v>
      </c>
      <c r="E2012" s="81"/>
      <c r="F2012" s="81"/>
      <c r="G2012" s="143">
        <f>SUM(G2004:G2011)</f>
        <v>2581541246</v>
      </c>
      <c r="H2012" s="143">
        <f>SUM(H2004:H2011)</f>
        <v>1612558401</v>
      </c>
    </row>
    <row r="2013" spans="7:8" ht="15">
      <c r="G2013" s="140"/>
      <c r="H2013" s="140"/>
    </row>
    <row r="2014" spans="2:8" ht="15">
      <c r="B2014" s="31"/>
      <c r="C2014" s="73"/>
      <c r="G2014" s="140"/>
      <c r="H2014" s="140"/>
    </row>
    <row r="2015" spans="2:8" ht="15">
      <c r="B2015" s="31"/>
      <c r="C2015" s="73"/>
      <c r="D2015" s="8" t="s">
        <v>368</v>
      </c>
      <c r="G2015" s="140"/>
      <c r="H2015" s="140"/>
    </row>
    <row r="2016" spans="2:8" ht="15">
      <c r="B2016" s="132"/>
      <c r="C2016" s="74">
        <v>368900</v>
      </c>
      <c r="D2016" s="75" t="s">
        <v>73</v>
      </c>
      <c r="G2016" s="140"/>
      <c r="H2016" s="140"/>
    </row>
    <row r="2017" spans="1:8" ht="15">
      <c r="A2017" s="127" t="s">
        <v>2013</v>
      </c>
      <c r="B2017" s="31"/>
      <c r="C2017" s="31"/>
      <c r="D2017" s="31" t="s">
        <v>2014</v>
      </c>
      <c r="G2017" s="140">
        <f>H158</f>
        <v>895017</v>
      </c>
      <c r="H2017" s="140">
        <v>0</v>
      </c>
    </row>
    <row r="2018" spans="2:8" ht="15">
      <c r="B2018" s="31"/>
      <c r="C2018" s="73"/>
      <c r="D2018" s="75" t="s">
        <v>943</v>
      </c>
      <c r="G2018" s="149">
        <f>SUM(G2017)</f>
        <v>895017</v>
      </c>
      <c r="H2018" s="149">
        <f>SUM(H2017)</f>
        <v>0</v>
      </c>
    </row>
    <row r="2019" spans="7:8" ht="15">
      <c r="G2019" s="140"/>
      <c r="H2019" s="140"/>
    </row>
    <row r="2020" spans="5:8" ht="15">
      <c r="E2020" s="75"/>
      <c r="G2020" s="144"/>
      <c r="H2020" s="140"/>
    </row>
    <row r="2021" spans="2:8" ht="15">
      <c r="B2021" s="132"/>
      <c r="C2021" s="74">
        <v>372200</v>
      </c>
      <c r="D2021" s="75" t="s">
        <v>74</v>
      </c>
      <c r="G2021" s="140"/>
      <c r="H2021" s="144"/>
    </row>
    <row r="2022" spans="1:8" ht="15">
      <c r="A2022" s="127" t="s">
        <v>897</v>
      </c>
      <c r="B2022" s="127" t="s">
        <v>1161</v>
      </c>
      <c r="C2022" s="34"/>
      <c r="D2022" s="31" t="s">
        <v>898</v>
      </c>
      <c r="G2022" s="140">
        <f>G611</f>
        <v>76632464.33</v>
      </c>
      <c r="H2022" s="140">
        <v>114459960</v>
      </c>
    </row>
    <row r="2023" spans="1:8" ht="15">
      <c r="A2023" s="127" t="s">
        <v>897</v>
      </c>
      <c r="B2023" s="127" t="s">
        <v>1163</v>
      </c>
      <c r="C2023" s="34"/>
      <c r="D2023" s="31" t="s">
        <v>899</v>
      </c>
      <c r="G2023" s="140">
        <f>G612</f>
        <v>21767429.98</v>
      </c>
      <c r="H2023" s="140"/>
    </row>
    <row r="2024" spans="1:8" ht="17.25">
      <c r="A2024" s="127" t="s">
        <v>897</v>
      </c>
      <c r="B2024" s="127" t="s">
        <v>1165</v>
      </c>
      <c r="C2024" s="34"/>
      <c r="D2024" s="31" t="s">
        <v>1128</v>
      </c>
      <c r="G2024" s="142">
        <f>G613</f>
        <v>459947503.59999996</v>
      </c>
      <c r="H2024" s="142">
        <v>891036055</v>
      </c>
    </row>
    <row r="2025" spans="2:8" ht="17.25">
      <c r="B2025" s="31"/>
      <c r="C2025" s="73"/>
      <c r="D2025" s="81" t="s">
        <v>943</v>
      </c>
      <c r="E2025" s="8"/>
      <c r="F2025" s="8"/>
      <c r="G2025" s="143">
        <f>SUM(G2022:G2024)</f>
        <v>558347397.91</v>
      </c>
      <c r="H2025" s="143">
        <f>SUM(H2022:H2024)</f>
        <v>1005496015</v>
      </c>
    </row>
    <row r="2026" spans="2:8" ht="15">
      <c r="B2026" s="31"/>
      <c r="C2026" s="73"/>
      <c r="G2026" s="140"/>
      <c r="H2026" s="140"/>
    </row>
    <row r="2027" spans="2:8" ht="15">
      <c r="B2027" s="132"/>
      <c r="C2027" s="74">
        <v>372600</v>
      </c>
      <c r="D2027" s="75" t="s">
        <v>432</v>
      </c>
      <c r="E2027" s="75"/>
      <c r="G2027" s="144"/>
      <c r="H2027" s="140"/>
    </row>
    <row r="2028" spans="1:8" ht="15">
      <c r="A2028" s="127" t="s">
        <v>2003</v>
      </c>
      <c r="B2028" s="31"/>
      <c r="C2028" s="34"/>
      <c r="D2028" s="31" t="s">
        <v>2004</v>
      </c>
      <c r="G2028" s="140">
        <f>G153-H153</f>
        <v>-626102978</v>
      </c>
      <c r="H2028" s="140">
        <v>-353235963</v>
      </c>
    </row>
    <row r="2029" spans="1:8" ht="15">
      <c r="A2029" s="127" t="s">
        <v>2005</v>
      </c>
      <c r="B2029" s="31"/>
      <c r="C2029" s="34"/>
      <c r="D2029" s="31" t="s">
        <v>2006</v>
      </c>
      <c r="G2029" s="140">
        <f>G154-H154</f>
        <v>-52962766</v>
      </c>
      <c r="H2029" s="140">
        <v>-65553218</v>
      </c>
    </row>
    <row r="2030" spans="1:8" ht="15">
      <c r="A2030" s="127" t="s">
        <v>1129</v>
      </c>
      <c r="B2030" s="127" t="s">
        <v>1165</v>
      </c>
      <c r="C2030" s="34"/>
      <c r="D2030" s="31" t="s">
        <v>1130</v>
      </c>
      <c r="G2030" s="140">
        <f>G614-H614</f>
        <v>488937489</v>
      </c>
      <c r="H2030" s="140">
        <v>749921702</v>
      </c>
    </row>
    <row r="2031" spans="1:8" ht="17.25">
      <c r="A2031" s="127" t="s">
        <v>1833</v>
      </c>
      <c r="B2031" s="127" t="s">
        <v>1165</v>
      </c>
      <c r="C2031" s="34"/>
      <c r="D2031" s="31" t="s">
        <v>1834</v>
      </c>
      <c r="G2031" s="142">
        <f>G615-H615</f>
        <v>531473961</v>
      </c>
      <c r="H2031" s="142">
        <v>159402600</v>
      </c>
    </row>
    <row r="2032" spans="2:8" ht="17.25">
      <c r="B2032" s="31"/>
      <c r="C2032" s="73"/>
      <c r="D2032" s="81" t="s">
        <v>943</v>
      </c>
      <c r="E2032" s="81"/>
      <c r="F2032" s="8"/>
      <c r="G2032" s="143">
        <f>SUM(G2028:G2031)</f>
        <v>341345706</v>
      </c>
      <c r="H2032" s="143">
        <f>SUM(H2028:H2031)</f>
        <v>490535121</v>
      </c>
    </row>
    <row r="2033" spans="2:8" ht="15">
      <c r="B2033" s="31"/>
      <c r="C2033" s="73"/>
      <c r="G2033" s="140"/>
      <c r="H2033" s="140"/>
    </row>
    <row r="2034" spans="7:8" ht="15">
      <c r="G2034" s="140"/>
      <c r="H2034" s="140"/>
    </row>
    <row r="2035" spans="2:8" ht="15">
      <c r="B2035" s="132"/>
      <c r="C2035" s="74">
        <v>372900</v>
      </c>
      <c r="D2035" s="152" t="s">
        <v>455</v>
      </c>
      <c r="G2035" s="140"/>
      <c r="H2035" s="140"/>
    </row>
    <row r="2036" spans="1:8" ht="15">
      <c r="A2036" s="127" t="s">
        <v>897</v>
      </c>
      <c r="B2036" s="127" t="s">
        <v>1163</v>
      </c>
      <c r="C2036" s="34"/>
      <c r="D2036" s="31" t="s">
        <v>899</v>
      </c>
      <c r="G2036" s="140">
        <f>H612</f>
        <v>0</v>
      </c>
      <c r="H2036" s="144">
        <v>0</v>
      </c>
    </row>
    <row r="2037" spans="1:8" ht="17.25">
      <c r="A2037" s="127" t="s">
        <v>1835</v>
      </c>
      <c r="B2037" s="127" t="s">
        <v>1165</v>
      </c>
      <c r="C2037" s="34"/>
      <c r="D2037" s="31" t="s">
        <v>1836</v>
      </c>
      <c r="G2037" s="142">
        <f>G616</f>
        <v>270176455</v>
      </c>
      <c r="H2037" s="142">
        <v>253002893</v>
      </c>
    </row>
    <row r="2038" spans="2:8" ht="17.25">
      <c r="B2038" s="31"/>
      <c r="C2038" s="73"/>
      <c r="D2038" s="81" t="s">
        <v>943</v>
      </c>
      <c r="E2038" s="8"/>
      <c r="F2038" s="8"/>
      <c r="G2038" s="143">
        <f>SUM(G2036:G2037)</f>
        <v>270176455</v>
      </c>
      <c r="H2038" s="143">
        <f>SUM(H2036:H2037)</f>
        <v>253002893</v>
      </c>
    </row>
    <row r="2039" spans="7:8" ht="15">
      <c r="G2039" s="140"/>
      <c r="H2039" s="140"/>
    </row>
    <row r="2040" ht="15">
      <c r="H2040" s="140"/>
    </row>
    <row r="2041" spans="2:8" ht="15">
      <c r="B2041" s="31"/>
      <c r="C2041" s="73"/>
      <c r="G2041" s="140"/>
      <c r="H2041" s="140"/>
    </row>
    <row r="2042" spans="2:8" ht="15">
      <c r="B2042" s="34"/>
      <c r="C2042" s="77" t="s">
        <v>1111</v>
      </c>
      <c r="G2042" s="140"/>
      <c r="H2042" s="144"/>
    </row>
    <row r="2043" spans="2:8" ht="15">
      <c r="B2043" s="34"/>
      <c r="C2043" s="77"/>
      <c r="G2043" s="140"/>
      <c r="H2043" s="140"/>
    </row>
    <row r="2044" spans="2:8" ht="15">
      <c r="B2044" s="34"/>
      <c r="C2044" s="77"/>
      <c r="D2044" s="9" t="s">
        <v>456</v>
      </c>
      <c r="G2044" s="140"/>
      <c r="H2044" s="140"/>
    </row>
    <row r="2045" spans="2:8" ht="15">
      <c r="B2045" s="34"/>
      <c r="C2045" s="77"/>
      <c r="G2045" s="140"/>
      <c r="H2045" s="140"/>
    </row>
    <row r="2046" spans="2:8" ht="15">
      <c r="B2046" s="34"/>
      <c r="C2046" s="77"/>
      <c r="D2046" s="8" t="s">
        <v>457</v>
      </c>
      <c r="G2046" s="140"/>
      <c r="H2046" s="140"/>
    </row>
    <row r="2047" spans="2:8" ht="15">
      <c r="B2047" s="34"/>
      <c r="C2047" s="73">
        <v>101210</v>
      </c>
      <c r="D2047" s="69" t="s">
        <v>1674</v>
      </c>
      <c r="G2047" s="140">
        <f>G24</f>
        <v>175071569</v>
      </c>
      <c r="H2047" s="140">
        <v>77594331</v>
      </c>
    </row>
    <row r="2048" spans="2:8" ht="15">
      <c r="B2048" s="34"/>
      <c r="C2048" s="73">
        <v>101230</v>
      </c>
      <c r="D2048" s="69" t="s">
        <v>1675</v>
      </c>
      <c r="G2048" s="140">
        <f>-H25</f>
        <v>-106025092</v>
      </c>
      <c r="H2048" s="140">
        <v>-77594231</v>
      </c>
    </row>
    <row r="2049" spans="2:8" ht="15">
      <c r="B2049" s="34"/>
      <c r="C2049" s="73">
        <v>101300</v>
      </c>
      <c r="D2049" s="71" t="s">
        <v>1676</v>
      </c>
      <c r="E2049" s="75"/>
      <c r="F2049" s="75"/>
      <c r="G2049" s="144">
        <f>SUM(G2047:G2048)</f>
        <v>69046477</v>
      </c>
      <c r="H2049" s="144">
        <f>SUM(H2047:H2048)</f>
        <v>100</v>
      </c>
    </row>
    <row r="2050" spans="2:8" ht="15">
      <c r="B2050" s="34"/>
      <c r="C2050" s="77">
        <v>102000</v>
      </c>
      <c r="D2050" s="66" t="s">
        <v>1771</v>
      </c>
      <c r="G2050" s="147">
        <f>G2049</f>
        <v>69046477</v>
      </c>
      <c r="H2050" s="147">
        <f>H2049</f>
        <v>100</v>
      </c>
    </row>
    <row r="2051" spans="2:8" ht="15">
      <c r="B2051" s="34"/>
      <c r="C2051" s="77"/>
      <c r="D2051" s="66"/>
      <c r="G2051" s="140"/>
      <c r="H2051" s="140"/>
    </row>
    <row r="2052" spans="2:8" ht="15">
      <c r="B2052" s="34"/>
      <c r="C2052" s="77"/>
      <c r="D2052" s="8" t="s">
        <v>458</v>
      </c>
      <c r="G2052" s="140"/>
      <c r="H2052" s="140"/>
    </row>
    <row r="2053" spans="2:8" ht="15">
      <c r="B2053" s="31"/>
      <c r="C2053" s="73"/>
      <c r="G2053" s="140"/>
      <c r="H2053" s="144"/>
    </row>
    <row r="2054" spans="2:8" ht="15">
      <c r="B2054" s="31"/>
      <c r="C2054" s="73">
        <v>103110</v>
      </c>
      <c r="D2054" s="75" t="s">
        <v>459</v>
      </c>
      <c r="G2054" s="140"/>
      <c r="H2054" s="140"/>
    </row>
    <row r="2055" spans="1:8" ht="15">
      <c r="A2055" s="127" t="s">
        <v>1622</v>
      </c>
      <c r="B2055" s="31"/>
      <c r="C2055" s="34"/>
      <c r="D2055" s="31" t="s">
        <v>1623</v>
      </c>
      <c r="G2055" s="140">
        <f>G8</f>
        <v>272010529</v>
      </c>
      <c r="H2055" s="140">
        <v>271505043</v>
      </c>
    </row>
    <row r="2056" spans="1:8" ht="17.25">
      <c r="A2056" s="127" t="s">
        <v>1626</v>
      </c>
      <c r="B2056" s="31"/>
      <c r="C2056" s="34"/>
      <c r="D2056" s="31" t="s">
        <v>1640</v>
      </c>
      <c r="G2056" s="142">
        <f>G10</f>
        <v>1101568077</v>
      </c>
      <c r="H2056" s="142">
        <v>1007714816</v>
      </c>
    </row>
    <row r="2057" spans="2:8" ht="15">
      <c r="B2057" s="31"/>
      <c r="C2057" s="73"/>
      <c r="D2057" s="75" t="s">
        <v>943</v>
      </c>
      <c r="E2057" s="75"/>
      <c r="G2057" s="144">
        <f>SUM(G2055:G2056)</f>
        <v>1373578606</v>
      </c>
      <c r="H2057" s="144">
        <f>SUM(H2055:H2056)</f>
        <v>1279219859</v>
      </c>
    </row>
    <row r="2058" spans="2:8" ht="15">
      <c r="B2058" s="31"/>
      <c r="C2058" s="73"/>
      <c r="G2058" s="140"/>
      <c r="H2058" s="140"/>
    </row>
    <row r="2059" spans="2:8" ht="15">
      <c r="B2059" s="31"/>
      <c r="C2059" s="73">
        <v>103130</v>
      </c>
      <c r="D2059" s="75" t="s">
        <v>77</v>
      </c>
      <c r="G2059" s="140"/>
      <c r="H2059" s="140"/>
    </row>
    <row r="2060" spans="1:8" ht="15">
      <c r="A2060" s="127" t="s">
        <v>1624</v>
      </c>
      <c r="B2060" s="31"/>
      <c r="C2060" s="34"/>
      <c r="D2060" s="31" t="s">
        <v>1625</v>
      </c>
      <c r="G2060" s="140">
        <f>H9</f>
        <v>55443723</v>
      </c>
      <c r="H2060" s="140">
        <v>50024113</v>
      </c>
    </row>
    <row r="2061" spans="1:8" ht="17.25">
      <c r="A2061" s="127" t="s">
        <v>1641</v>
      </c>
      <c r="B2061" s="31"/>
      <c r="C2061" s="34"/>
      <c r="D2061" s="31" t="s">
        <v>1642</v>
      </c>
      <c r="G2061" s="142">
        <f>H11</f>
        <v>320845920</v>
      </c>
      <c r="H2061" s="85">
        <v>277548269</v>
      </c>
    </row>
    <row r="2062" spans="2:8" ht="15">
      <c r="B2062" s="31"/>
      <c r="C2062" s="73"/>
      <c r="D2062" s="75" t="s">
        <v>943</v>
      </c>
      <c r="E2062" s="75"/>
      <c r="G2062" s="144">
        <f>SUM(G2060:G2061)</f>
        <v>376289643</v>
      </c>
      <c r="H2062" s="144">
        <f>SUM(H2060:H2061)</f>
        <v>327572382</v>
      </c>
    </row>
    <row r="2063" spans="2:8" ht="15">
      <c r="B2063" s="31"/>
      <c r="C2063" s="73"/>
      <c r="G2063" s="140"/>
      <c r="H2063" s="140"/>
    </row>
    <row r="2064" spans="2:8" ht="17.25">
      <c r="B2064" s="132"/>
      <c r="C2064" s="74">
        <v>103200</v>
      </c>
      <c r="D2064" s="75" t="s">
        <v>1405</v>
      </c>
      <c r="E2064" s="75"/>
      <c r="G2064" s="143">
        <f>G2057-G2062</f>
        <v>997288963</v>
      </c>
      <c r="H2064" s="143">
        <f>H2057-H2062</f>
        <v>951647477</v>
      </c>
    </row>
    <row r="2065" spans="2:8" ht="15">
      <c r="B2065" s="132"/>
      <c r="C2065" s="74"/>
      <c r="D2065" s="75"/>
      <c r="E2065" s="75"/>
      <c r="G2065" s="144"/>
      <c r="H2065" s="140"/>
    </row>
    <row r="2066" spans="2:8" ht="15">
      <c r="B2066" s="31"/>
      <c r="C2066" s="73">
        <v>103310</v>
      </c>
      <c r="D2066" s="75" t="s">
        <v>656</v>
      </c>
      <c r="G2066" s="140"/>
      <c r="H2066" s="140"/>
    </row>
    <row r="2067" spans="1:8" ht="15">
      <c r="A2067" s="127" t="s">
        <v>1643</v>
      </c>
      <c r="B2067" s="31"/>
      <c r="C2067" s="34"/>
      <c r="D2067" s="31" t="s">
        <v>1644</v>
      </c>
      <c r="G2067" s="140">
        <f>G12</f>
        <v>29632987570</v>
      </c>
      <c r="H2067" s="140">
        <v>28664450664</v>
      </c>
    </row>
    <row r="2068" spans="1:8" ht="17.25">
      <c r="A2068" s="127" t="s">
        <v>919</v>
      </c>
      <c r="B2068" s="31"/>
      <c r="C2068" s="34"/>
      <c r="D2068" s="31" t="s">
        <v>920</v>
      </c>
      <c r="G2068" s="142">
        <f>G14</f>
        <v>0</v>
      </c>
      <c r="H2068" s="142">
        <v>235337669</v>
      </c>
    </row>
    <row r="2069" spans="2:8" ht="15">
      <c r="B2069" s="31"/>
      <c r="C2069" s="73"/>
      <c r="D2069" s="75" t="s">
        <v>943</v>
      </c>
      <c r="E2069" s="75"/>
      <c r="G2069" s="144">
        <f>SUM(G2067:G2068)</f>
        <v>29632987570</v>
      </c>
      <c r="H2069" s="144">
        <f>SUM(H2067:H2068)</f>
        <v>28899788333</v>
      </c>
    </row>
    <row r="2070" spans="2:8" ht="15">
      <c r="B2070" s="31"/>
      <c r="C2070" s="73"/>
      <c r="G2070" s="140"/>
      <c r="H2070" s="140"/>
    </row>
    <row r="2071" spans="2:8" ht="15">
      <c r="B2071" s="31"/>
      <c r="C2071" s="73">
        <v>103330</v>
      </c>
      <c r="D2071" s="75" t="s">
        <v>657</v>
      </c>
      <c r="G2071" s="140"/>
      <c r="H2071" s="140"/>
    </row>
    <row r="2072" spans="1:8" ht="15">
      <c r="A2072" s="127" t="s">
        <v>1645</v>
      </c>
      <c r="B2072" s="31"/>
      <c r="C2072" s="34"/>
      <c r="D2072" s="31" t="s">
        <v>918</v>
      </c>
      <c r="G2072" s="140">
        <f>H13-G13</f>
        <v>6750999933</v>
      </c>
      <c r="H2072" s="140">
        <v>4458866125</v>
      </c>
    </row>
    <row r="2073" spans="1:8" ht="17.25">
      <c r="A2073" s="127" t="s">
        <v>921</v>
      </c>
      <c r="B2073" s="31"/>
      <c r="C2073" s="34"/>
      <c r="D2073" s="31" t="s">
        <v>922</v>
      </c>
      <c r="G2073" s="142">
        <f>H15</f>
        <v>0</v>
      </c>
      <c r="H2073" s="142">
        <v>235323105</v>
      </c>
    </row>
    <row r="2074" spans="2:8" ht="15">
      <c r="B2074" s="31"/>
      <c r="C2074" s="73"/>
      <c r="D2074" s="75" t="s">
        <v>943</v>
      </c>
      <c r="E2074" s="75"/>
      <c r="G2074" s="144">
        <f>SUM(G2072:G2073)</f>
        <v>6750999933</v>
      </c>
      <c r="H2074" s="144">
        <f>SUM(H2072:H2073)</f>
        <v>4694189230</v>
      </c>
    </row>
    <row r="2075" spans="2:8" ht="15">
      <c r="B2075" s="31"/>
      <c r="C2075" s="73"/>
      <c r="G2075" s="140"/>
      <c r="H2075" s="140"/>
    </row>
    <row r="2076" spans="2:8" ht="17.25">
      <c r="B2076" s="132"/>
      <c r="C2076" s="74">
        <v>103400</v>
      </c>
      <c r="D2076" s="75" t="s">
        <v>658</v>
      </c>
      <c r="G2076" s="143">
        <f>G2069-G2074</f>
        <v>22881987637</v>
      </c>
      <c r="H2076" s="143">
        <f>H2069-H2074</f>
        <v>24205599103</v>
      </c>
    </row>
    <row r="2077" spans="2:8" ht="15">
      <c r="B2077" s="31"/>
      <c r="C2077" s="73"/>
      <c r="G2077" s="140"/>
      <c r="H2077" s="144"/>
    </row>
    <row r="2078" spans="2:8" ht="15">
      <c r="B2078" s="31"/>
      <c r="C2078" s="73">
        <v>103510</v>
      </c>
      <c r="D2078" s="75" t="s">
        <v>1118</v>
      </c>
      <c r="G2078" s="140"/>
      <c r="H2078" s="140"/>
    </row>
    <row r="2079" spans="1:8" ht="15">
      <c r="A2079" s="127" t="s">
        <v>923</v>
      </c>
      <c r="B2079" s="31"/>
      <c r="C2079" s="34"/>
      <c r="D2079" s="31" t="s">
        <v>924</v>
      </c>
      <c r="G2079" s="140">
        <f>G16</f>
        <v>2387540104</v>
      </c>
      <c r="H2079" s="140">
        <v>2044790418</v>
      </c>
    </row>
    <row r="2080" spans="1:8" ht="15">
      <c r="A2080" s="127" t="s">
        <v>927</v>
      </c>
      <c r="B2080" s="31"/>
      <c r="C2080" s="34"/>
      <c r="D2080" s="31" t="s">
        <v>928</v>
      </c>
      <c r="G2080" s="140">
        <f>G18</f>
        <v>809494703</v>
      </c>
      <c r="H2080" s="140">
        <v>732714296</v>
      </c>
    </row>
    <row r="2081" spans="1:8" ht="15">
      <c r="A2081" s="127" t="s">
        <v>931</v>
      </c>
      <c r="B2081" s="31"/>
      <c r="C2081" s="34"/>
      <c r="D2081" s="31" t="s">
        <v>932</v>
      </c>
      <c r="G2081" s="140">
        <f>G20</f>
        <v>585279949</v>
      </c>
      <c r="H2081" s="140">
        <v>499296644</v>
      </c>
    </row>
    <row r="2082" spans="1:8" ht="17.25">
      <c r="A2082" s="127" t="s">
        <v>1584</v>
      </c>
      <c r="B2082" s="31"/>
      <c r="C2082" s="34"/>
      <c r="D2082" s="139" t="s">
        <v>1583</v>
      </c>
      <c r="G2082" s="142">
        <f>G23</f>
        <v>612358410</v>
      </c>
      <c r="H2082" s="142">
        <v>0</v>
      </c>
    </row>
    <row r="2083" spans="2:8" ht="17.25">
      <c r="B2083" s="31"/>
      <c r="C2083" s="73"/>
      <c r="D2083" s="75" t="s">
        <v>943</v>
      </c>
      <c r="E2083" s="75"/>
      <c r="G2083" s="155">
        <f>SUM(G2079:G2082)</f>
        <v>4394673166</v>
      </c>
      <c r="H2083" s="155">
        <f>SUM(H2079:H2082)</f>
        <v>3276801358</v>
      </c>
    </row>
    <row r="2084" spans="2:8" ht="15">
      <c r="B2084" s="31"/>
      <c r="C2084" s="73"/>
      <c r="G2084" s="140"/>
      <c r="H2084" s="144"/>
    </row>
    <row r="2085" spans="2:8" ht="15">
      <c r="B2085" s="31"/>
      <c r="C2085" s="73">
        <v>103530</v>
      </c>
      <c r="D2085" s="75" t="s">
        <v>1119</v>
      </c>
      <c r="G2085" s="140"/>
      <c r="H2085" s="140"/>
    </row>
    <row r="2086" spans="1:8" ht="15">
      <c r="A2086" s="127" t="s">
        <v>925</v>
      </c>
      <c r="B2086" s="31"/>
      <c r="C2086" s="34"/>
      <c r="D2086" s="31" t="s">
        <v>926</v>
      </c>
      <c r="G2086" s="140">
        <f>H17</f>
        <v>1715936708</v>
      </c>
      <c r="H2086" s="140">
        <v>1452110540</v>
      </c>
    </row>
    <row r="2087" spans="1:8" ht="15">
      <c r="A2087" s="127" t="s">
        <v>929</v>
      </c>
      <c r="B2087" s="31"/>
      <c r="C2087" s="34"/>
      <c r="D2087" s="31" t="s">
        <v>930</v>
      </c>
      <c r="G2087" s="140">
        <f>H19</f>
        <v>538814564</v>
      </c>
      <c r="H2087" s="140">
        <v>525448103</v>
      </c>
    </row>
    <row r="2088" spans="1:8" ht="15">
      <c r="A2088" s="127" t="s">
        <v>929</v>
      </c>
      <c r="B2088" s="31"/>
      <c r="C2088" s="34"/>
      <c r="D2088" s="31" t="s">
        <v>930</v>
      </c>
      <c r="G2088" s="140">
        <f>H21-G21</f>
        <v>539776800</v>
      </c>
      <c r="H2088" s="140">
        <v>483771951</v>
      </c>
    </row>
    <row r="2089" spans="1:8" ht="15">
      <c r="A2089" s="127" t="s">
        <v>1586</v>
      </c>
      <c r="B2089" s="31"/>
      <c r="C2089" s="34"/>
      <c r="D2089" s="31"/>
      <c r="G2089" s="140"/>
      <c r="H2089" s="140"/>
    </row>
    <row r="2090" spans="2:8" ht="15">
      <c r="B2090" s="31"/>
      <c r="C2090" s="73"/>
      <c r="D2090" s="75" t="s">
        <v>943</v>
      </c>
      <c r="E2090" s="75"/>
      <c r="G2090" s="144">
        <f>SUM(G2086:G2089)</f>
        <v>2794528072</v>
      </c>
      <c r="H2090" s="144">
        <f>SUM(H2086:H2089)</f>
        <v>2461330594</v>
      </c>
    </row>
    <row r="2091" spans="2:8" ht="15">
      <c r="B2091" s="31"/>
      <c r="C2091" s="73"/>
      <c r="G2091" s="140"/>
      <c r="H2091" s="140"/>
    </row>
    <row r="2092" spans="2:8" ht="17.25">
      <c r="B2092" s="132"/>
      <c r="C2092" s="74">
        <v>103600</v>
      </c>
      <c r="D2092" s="75" t="s">
        <v>1120</v>
      </c>
      <c r="G2092" s="143">
        <f>G2083-G2090</f>
        <v>1600145094</v>
      </c>
      <c r="H2092" s="143">
        <f>H2083-H2090</f>
        <v>815470764</v>
      </c>
    </row>
    <row r="2093" spans="2:8" ht="15">
      <c r="B2093" s="31"/>
      <c r="C2093" s="73"/>
      <c r="G2093" s="140"/>
      <c r="H2093" s="140"/>
    </row>
    <row r="2094" spans="2:8" ht="15">
      <c r="B2094" s="31"/>
      <c r="C2094" s="73">
        <v>103800</v>
      </c>
      <c r="D2094" s="75" t="s">
        <v>662</v>
      </c>
      <c r="G2094" s="140"/>
      <c r="H2094" s="140"/>
    </row>
    <row r="2095" spans="1:8" ht="17.25">
      <c r="A2095" s="127" t="s">
        <v>1580</v>
      </c>
      <c r="B2095" s="31"/>
      <c r="C2095" s="34"/>
      <c r="D2095" s="31" t="s">
        <v>1581</v>
      </c>
      <c r="G2095" s="142">
        <f>G22</f>
        <v>1440867657</v>
      </c>
      <c r="H2095" s="142">
        <v>474609873</v>
      </c>
    </row>
    <row r="2096" spans="2:8" ht="17.25">
      <c r="B2096" s="31"/>
      <c r="C2096" s="73"/>
      <c r="D2096" s="75" t="s">
        <v>943</v>
      </c>
      <c r="G2096" s="143">
        <f>SUM(G2095)</f>
        <v>1440867657</v>
      </c>
      <c r="H2096" s="143">
        <f>SUM(H2095)</f>
        <v>474609873</v>
      </c>
    </row>
    <row r="2097" spans="2:8" ht="15">
      <c r="B2097" s="31"/>
      <c r="C2097" s="73"/>
      <c r="G2097" s="140"/>
      <c r="H2097" s="140"/>
    </row>
    <row r="2098" spans="2:8" ht="15">
      <c r="B2098" s="31"/>
      <c r="C2098" s="73"/>
      <c r="G2098" s="140"/>
      <c r="H2098" s="144"/>
    </row>
    <row r="2099" spans="2:8" ht="15">
      <c r="B2099" s="132"/>
      <c r="C2099" s="74">
        <v>133200</v>
      </c>
      <c r="D2099" s="75" t="s">
        <v>1121</v>
      </c>
      <c r="G2099" s="140"/>
      <c r="H2099" s="140"/>
    </row>
    <row r="2100" spans="1:8" ht="15">
      <c r="A2100" s="127" t="s">
        <v>1588</v>
      </c>
      <c r="B2100" s="31"/>
      <c r="C2100" s="34"/>
      <c r="D2100" s="31" t="s">
        <v>511</v>
      </c>
      <c r="G2100" s="140">
        <f>G26-H26</f>
        <v>34900000</v>
      </c>
      <c r="H2100" s="140">
        <v>87300000</v>
      </c>
    </row>
    <row r="2101" spans="2:8" ht="15">
      <c r="B2101" s="31"/>
      <c r="C2101" s="73"/>
      <c r="D2101" s="31"/>
      <c r="G2101" s="140"/>
      <c r="H2101" s="140"/>
    </row>
    <row r="2102" spans="2:8" ht="15">
      <c r="B2102" s="31"/>
      <c r="C2102" s="73"/>
      <c r="D2102" s="75" t="s">
        <v>943</v>
      </c>
      <c r="G2102" s="149">
        <f>SUM(G2100:G2101)</f>
        <v>34900000</v>
      </c>
      <c r="H2102" s="149">
        <f>SUM(H2100:H2101)</f>
        <v>87300000</v>
      </c>
    </row>
    <row r="2103" spans="2:8" ht="15">
      <c r="B2103" s="31"/>
      <c r="C2103" s="73"/>
      <c r="G2103" s="140"/>
      <c r="H2103" s="140"/>
    </row>
    <row r="2104" spans="2:8" ht="15">
      <c r="B2104" s="31"/>
      <c r="C2104" s="73"/>
      <c r="G2104" s="140"/>
      <c r="H2104" s="140"/>
    </row>
    <row r="2105" spans="2:8" ht="15">
      <c r="B2105" s="31"/>
      <c r="C2105" s="73"/>
      <c r="D2105" s="8" t="s">
        <v>603</v>
      </c>
      <c r="G2105" s="140"/>
      <c r="H2105" s="144"/>
    </row>
    <row r="2106" spans="2:8" ht="15">
      <c r="B2106" s="132"/>
      <c r="C2106" s="74">
        <v>142000</v>
      </c>
      <c r="D2106" s="75" t="s">
        <v>1116</v>
      </c>
      <c r="G2106" s="140"/>
      <c r="H2106" s="140"/>
    </row>
    <row r="2107" spans="1:8" ht="15">
      <c r="A2107" s="127" t="s">
        <v>512</v>
      </c>
      <c r="B2107" s="31"/>
      <c r="C2107" s="34"/>
      <c r="D2107" s="31" t="s">
        <v>513</v>
      </c>
      <c r="G2107" s="140">
        <f>G27-H27</f>
        <v>0</v>
      </c>
      <c r="H2107" s="140">
        <v>192970400</v>
      </c>
    </row>
    <row r="2108" spans="1:8" ht="15">
      <c r="A2108" s="127" t="s">
        <v>514</v>
      </c>
      <c r="B2108" s="31"/>
      <c r="C2108" s="34"/>
      <c r="D2108" s="31" t="s">
        <v>515</v>
      </c>
      <c r="G2108" s="140">
        <f>G28-H28</f>
        <v>0</v>
      </c>
      <c r="H2108" s="140">
        <v>2159731245</v>
      </c>
    </row>
    <row r="2109" spans="1:8" ht="15">
      <c r="A2109" s="127" t="s">
        <v>516</v>
      </c>
      <c r="B2109" s="31"/>
      <c r="C2109" s="34"/>
      <c r="D2109" s="31" t="s">
        <v>517</v>
      </c>
      <c r="G2109" s="140">
        <f>G29-H29</f>
        <v>1060081590</v>
      </c>
      <c r="H2109" s="140">
        <v>114376400</v>
      </c>
    </row>
    <row r="2110" spans="1:8" ht="15">
      <c r="A2110" s="127" t="s">
        <v>518</v>
      </c>
      <c r="B2110" s="31"/>
      <c r="C2110" s="34"/>
      <c r="D2110" s="31" t="s">
        <v>1122</v>
      </c>
      <c r="G2110" s="140">
        <f>G30-H30</f>
        <v>171512493</v>
      </c>
      <c r="H2110" s="140">
        <v>140070720</v>
      </c>
    </row>
    <row r="2111" spans="1:8" ht="15">
      <c r="A2111" s="127" t="s">
        <v>520</v>
      </c>
      <c r="B2111" s="31"/>
      <c r="C2111" s="34"/>
      <c r="D2111" s="31" t="s">
        <v>1123</v>
      </c>
      <c r="G2111" s="140">
        <f>G31-H31</f>
        <v>61056773</v>
      </c>
      <c r="H2111" s="140">
        <v>27538314</v>
      </c>
    </row>
    <row r="2112" spans="1:8" ht="15">
      <c r="A2112" s="127" t="s">
        <v>1844</v>
      </c>
      <c r="B2112" s="31"/>
      <c r="C2112" s="34"/>
      <c r="D2112" s="31" t="s">
        <v>1845</v>
      </c>
      <c r="G2112" s="140">
        <f aca="true" t="shared" si="33" ref="G2112:G2120">G38-H38</f>
        <v>6269854396</v>
      </c>
      <c r="H2112" s="140">
        <v>5707503571</v>
      </c>
    </row>
    <row r="2113" spans="1:8" ht="15">
      <c r="A2113" s="127" t="s">
        <v>1848</v>
      </c>
      <c r="B2113" s="31"/>
      <c r="C2113" s="34"/>
      <c r="D2113" s="139" t="s">
        <v>1124</v>
      </c>
      <c r="G2113" s="140">
        <f t="shared" si="33"/>
        <v>0</v>
      </c>
      <c r="H2113" s="140">
        <v>0</v>
      </c>
    </row>
    <row r="2114" spans="1:8" ht="15">
      <c r="A2114" s="127" t="s">
        <v>1848</v>
      </c>
      <c r="B2114" s="31"/>
      <c r="C2114" s="34"/>
      <c r="D2114" s="31" t="s">
        <v>1737</v>
      </c>
      <c r="G2114" s="140">
        <f t="shared" si="33"/>
        <v>350792909</v>
      </c>
      <c r="H2114" s="140">
        <v>453792931</v>
      </c>
    </row>
    <row r="2115" spans="1:8" ht="15">
      <c r="A2115" s="127" t="s">
        <v>1850</v>
      </c>
      <c r="B2115" s="31"/>
      <c r="C2115" s="34"/>
      <c r="D2115" s="31" t="s">
        <v>1851</v>
      </c>
      <c r="G2115" s="140">
        <f t="shared" si="33"/>
        <v>30653842</v>
      </c>
      <c r="H2115" s="140">
        <v>36279964</v>
      </c>
    </row>
    <row r="2116" spans="1:8" ht="15">
      <c r="A2116" s="127" t="s">
        <v>1852</v>
      </c>
      <c r="B2116" s="31"/>
      <c r="C2116" s="34"/>
      <c r="D2116" s="31" t="s">
        <v>1853</v>
      </c>
      <c r="F2116" s="7"/>
      <c r="G2116" s="140">
        <f t="shared" si="33"/>
        <v>27517384</v>
      </c>
      <c r="H2116" s="140">
        <v>29423718</v>
      </c>
    </row>
    <row r="2117" spans="1:8" ht="15">
      <c r="A2117" s="127" t="s">
        <v>1854</v>
      </c>
      <c r="B2117" s="31"/>
      <c r="C2117" s="34"/>
      <c r="D2117" s="31" t="s">
        <v>1855</v>
      </c>
      <c r="G2117" s="140">
        <f t="shared" si="33"/>
        <v>215842328</v>
      </c>
      <c r="H2117" s="140">
        <v>343719539</v>
      </c>
    </row>
    <row r="2118" spans="1:8" ht="15">
      <c r="A2118" s="127" t="s">
        <v>1856</v>
      </c>
      <c r="B2118" s="31"/>
      <c r="C2118" s="34"/>
      <c r="D2118" s="31" t="s">
        <v>1857</v>
      </c>
      <c r="G2118" s="140">
        <f t="shared" si="33"/>
        <v>230621</v>
      </c>
      <c r="H2118" s="140">
        <v>39165552</v>
      </c>
    </row>
    <row r="2119" spans="1:8" ht="15">
      <c r="A2119" s="127" t="s">
        <v>1858</v>
      </c>
      <c r="B2119" s="31"/>
      <c r="C2119" s="34"/>
      <c r="D2119" s="31" t="s">
        <v>1916</v>
      </c>
      <c r="G2119" s="140">
        <f t="shared" si="33"/>
        <v>1628439083</v>
      </c>
      <c r="H2119" s="140">
        <v>646442402</v>
      </c>
    </row>
    <row r="2120" spans="1:8" ht="17.25">
      <c r="A2120" s="127" t="s">
        <v>1917</v>
      </c>
      <c r="B2120" s="31"/>
      <c r="C2120" s="31"/>
      <c r="D2120" s="31" t="s">
        <v>1918</v>
      </c>
      <c r="G2120" s="142">
        <f t="shared" si="33"/>
        <v>-198292148</v>
      </c>
      <c r="H2120" s="142">
        <v>-206270785</v>
      </c>
    </row>
    <row r="2121" spans="2:8" ht="15">
      <c r="B2121" s="31"/>
      <c r="C2121" s="73"/>
      <c r="G2121" s="140"/>
      <c r="H2121" s="140"/>
    </row>
    <row r="2122" spans="2:8" ht="17.25">
      <c r="B2122" s="31"/>
      <c r="C2122" s="73"/>
      <c r="D2122" s="81" t="s">
        <v>943</v>
      </c>
      <c r="E2122" s="81"/>
      <c r="F2122" s="81"/>
      <c r="G2122" s="143">
        <f>SUM(G2107:G2121)</f>
        <v>9617689271</v>
      </c>
      <c r="H2122" s="143">
        <f>SUM(H2107:H2121)</f>
        <v>9684743971</v>
      </c>
    </row>
    <row r="2123" spans="2:8" ht="15">
      <c r="B2123" s="31"/>
      <c r="C2123" s="73"/>
      <c r="G2123" s="140"/>
      <c r="H2123" s="140"/>
    </row>
    <row r="2124" spans="2:8" ht="15">
      <c r="B2124" s="31"/>
      <c r="C2124" s="73"/>
      <c r="G2124" s="140"/>
      <c r="H2124" s="140"/>
    </row>
    <row r="2125" spans="2:8" ht="15">
      <c r="B2125" s="132"/>
      <c r="C2125" s="74">
        <v>144000</v>
      </c>
      <c r="D2125" s="75" t="s">
        <v>1117</v>
      </c>
      <c r="G2125" s="140"/>
      <c r="H2125" s="140"/>
    </row>
    <row r="2126" spans="1:8" ht="15">
      <c r="A2126" s="127"/>
      <c r="B2126" s="31"/>
      <c r="C2126" s="34"/>
      <c r="D2126" s="31"/>
      <c r="G2126" s="140"/>
      <c r="H2126" s="140"/>
    </row>
    <row r="2127" spans="1:8" ht="15">
      <c r="A2127" s="127"/>
      <c r="B2127" s="31"/>
      <c r="C2127" s="34"/>
      <c r="D2127" s="31"/>
      <c r="G2127" s="140"/>
      <c r="H2127" s="140"/>
    </row>
    <row r="2128" spans="1:8" ht="15">
      <c r="A2128" s="127" t="s">
        <v>1664</v>
      </c>
      <c r="B2128" s="31"/>
      <c r="C2128" s="34"/>
      <c r="D2128" s="31" t="s">
        <v>1665</v>
      </c>
      <c r="G2128" s="140">
        <f>G32-H32</f>
        <v>63565593</v>
      </c>
      <c r="H2128" s="140">
        <v>47148780</v>
      </c>
    </row>
    <row r="2129" spans="1:8" ht="15">
      <c r="A2129" s="127" t="s">
        <v>1666</v>
      </c>
      <c r="B2129" s="31"/>
      <c r="C2129" s="34"/>
      <c r="D2129" s="31" t="s">
        <v>1667</v>
      </c>
      <c r="G2129" s="140">
        <f>G33-H33</f>
        <v>1169391421</v>
      </c>
      <c r="H2129" s="144">
        <v>325960929</v>
      </c>
    </row>
    <row r="2130" spans="1:8" ht="15">
      <c r="A2130" s="127" t="s">
        <v>1668</v>
      </c>
      <c r="B2130" s="31"/>
      <c r="C2130" s="34"/>
      <c r="D2130" s="31" t="s">
        <v>1669</v>
      </c>
      <c r="G2130" s="140">
        <f>G34-H34</f>
        <v>26898496</v>
      </c>
      <c r="H2130" s="140">
        <v>24850272</v>
      </c>
    </row>
    <row r="2131" spans="1:8" ht="17.25">
      <c r="A2131" s="127" t="s">
        <v>1670</v>
      </c>
      <c r="B2131" s="31"/>
      <c r="C2131" s="34"/>
      <c r="D2131" s="31" t="s">
        <v>1671</v>
      </c>
      <c r="E2131" s="75"/>
      <c r="G2131" s="142">
        <f>G35-H35</f>
        <v>83377842</v>
      </c>
      <c r="H2131" s="142">
        <v>76489171</v>
      </c>
    </row>
    <row r="2132" spans="2:8" ht="15">
      <c r="B2132" s="31"/>
      <c r="C2132" s="73"/>
      <c r="G2132" s="140"/>
      <c r="H2132" s="140"/>
    </row>
    <row r="2133" spans="4:8" ht="17.25">
      <c r="D2133" s="81" t="s">
        <v>943</v>
      </c>
      <c r="E2133" s="81"/>
      <c r="F2133" s="81"/>
      <c r="G2133" s="143">
        <f>SUM(G2126:G2132)</f>
        <v>1343233352</v>
      </c>
      <c r="H2133" s="143">
        <f>SUM(H2126:H2132)</f>
        <v>474449152</v>
      </c>
    </row>
    <row r="2134" spans="2:8" ht="15">
      <c r="B2134" s="31"/>
      <c r="C2134" s="73"/>
      <c r="G2134" s="140"/>
      <c r="H2134" s="140"/>
    </row>
    <row r="2135" spans="2:8" ht="15">
      <c r="B2135" s="31"/>
      <c r="C2135" s="73"/>
      <c r="G2135" s="140"/>
      <c r="H2135" s="140"/>
    </row>
    <row r="2136" spans="2:8" ht="15">
      <c r="B2136" s="132"/>
      <c r="C2136" s="74">
        <v>146000</v>
      </c>
      <c r="D2136" s="75" t="s">
        <v>1125</v>
      </c>
      <c r="G2136" s="140"/>
      <c r="H2136" s="140"/>
    </row>
    <row r="2137" spans="1:8" ht="15">
      <c r="A2137" s="127" t="s">
        <v>1840</v>
      </c>
      <c r="B2137" s="31"/>
      <c r="C2137" s="34"/>
      <c r="D2137" s="31" t="s">
        <v>1841</v>
      </c>
      <c r="G2137" s="140">
        <f>G36-H36</f>
        <v>17896200</v>
      </c>
      <c r="H2137" s="140">
        <v>333294118</v>
      </c>
    </row>
    <row r="2138" spans="1:8" ht="17.25">
      <c r="A2138" s="127" t="s">
        <v>1842</v>
      </c>
      <c r="B2138" s="31"/>
      <c r="C2138" s="34"/>
      <c r="D2138" s="31" t="s">
        <v>1843</v>
      </c>
      <c r="G2138" s="142">
        <f>G37-H37</f>
        <v>122171392</v>
      </c>
      <c r="H2138" s="142">
        <v>25349667</v>
      </c>
    </row>
    <row r="2139" spans="2:8" ht="15">
      <c r="B2139" s="31"/>
      <c r="C2139" s="73"/>
      <c r="G2139" s="140"/>
      <c r="H2139" s="140"/>
    </row>
    <row r="2140" spans="2:8" ht="17.25">
      <c r="B2140" s="31"/>
      <c r="C2140" s="73"/>
      <c r="D2140" s="81" t="s">
        <v>943</v>
      </c>
      <c r="E2140" s="81"/>
      <c r="F2140" s="8"/>
      <c r="G2140" s="143">
        <f>SUM(G2137:G2139)</f>
        <v>140067592</v>
      </c>
      <c r="H2140" s="143">
        <f>SUM(H2137:H2139)</f>
        <v>358643785</v>
      </c>
    </row>
    <row r="2141" spans="2:8" ht="15">
      <c r="B2141" s="31"/>
      <c r="C2141" s="73"/>
      <c r="G2141" s="140"/>
      <c r="H2141" s="140"/>
    </row>
    <row r="2142" spans="7:8" ht="15">
      <c r="G2142" s="140"/>
      <c r="H2142" s="140"/>
    </row>
    <row r="2143" spans="2:8" ht="15">
      <c r="B2143" s="31"/>
      <c r="C2143" s="73">
        <v>151200</v>
      </c>
      <c r="D2143" s="75" t="s">
        <v>420</v>
      </c>
      <c r="G2143" s="140"/>
      <c r="H2143" s="140"/>
    </row>
    <row r="2144" spans="1:8" ht="15">
      <c r="A2144" s="127" t="s">
        <v>1919</v>
      </c>
      <c r="B2144" s="31"/>
      <c r="C2144" s="34"/>
      <c r="D2144" s="31" t="s">
        <v>1920</v>
      </c>
      <c r="G2144" s="140">
        <f>G47</f>
        <v>1790007366</v>
      </c>
      <c r="H2144" s="140">
        <v>2032812940</v>
      </c>
    </row>
    <row r="2145" spans="2:8" ht="17.25">
      <c r="B2145" s="31"/>
      <c r="C2145" s="73"/>
      <c r="D2145" s="9" t="s">
        <v>1126</v>
      </c>
      <c r="G2145" s="142">
        <v>667351143.57</v>
      </c>
      <c r="H2145" s="142">
        <v>171445505</v>
      </c>
    </row>
    <row r="2146" spans="2:8" ht="15">
      <c r="B2146" s="31"/>
      <c r="C2146" s="73"/>
      <c r="D2146" s="75" t="s">
        <v>943</v>
      </c>
      <c r="G2146" s="144">
        <f>SUM(G2144:G2145)</f>
        <v>2457358509.57</v>
      </c>
      <c r="H2146" s="144">
        <f>SUM(H2144:H2145)</f>
        <v>2204258445</v>
      </c>
    </row>
    <row r="2147" spans="2:8" ht="15">
      <c r="B2147" s="31"/>
      <c r="C2147" s="73"/>
      <c r="G2147" s="140"/>
      <c r="H2147" s="140"/>
    </row>
    <row r="2148" spans="2:8" ht="15">
      <c r="B2148" s="31"/>
      <c r="C2148" s="73">
        <v>151600</v>
      </c>
      <c r="D2148" s="75" t="s">
        <v>1127</v>
      </c>
      <c r="G2148" s="140"/>
      <c r="H2148" s="140"/>
    </row>
    <row r="2149" spans="1:8" ht="15">
      <c r="A2149" s="127" t="s">
        <v>1476</v>
      </c>
      <c r="B2149" s="31"/>
      <c r="C2149" s="31"/>
      <c r="D2149" s="31" t="s">
        <v>1477</v>
      </c>
      <c r="E2149" s="75"/>
      <c r="G2149" s="144">
        <f>G82-H82</f>
        <v>-430434779</v>
      </c>
      <c r="H2149" s="144">
        <v>-191659652</v>
      </c>
    </row>
    <row r="2150" spans="2:8" ht="15">
      <c r="B2150" s="31"/>
      <c r="C2150" s="73"/>
      <c r="D2150" s="75" t="s">
        <v>943</v>
      </c>
      <c r="G2150" s="140">
        <f>SUM(G2149)</f>
        <v>-430434779</v>
      </c>
      <c r="H2150" s="140">
        <f>SUM(H2149)</f>
        <v>-191659652</v>
      </c>
    </row>
    <row r="2151" spans="2:8" ht="15">
      <c r="B2151" s="31"/>
      <c r="C2151" s="73"/>
      <c r="G2151" s="140"/>
      <c r="H2151" s="140"/>
    </row>
    <row r="2152" spans="2:8" ht="17.25">
      <c r="B2152" s="132"/>
      <c r="C2152" s="74">
        <v>152000</v>
      </c>
      <c r="D2152" s="81" t="s">
        <v>668</v>
      </c>
      <c r="E2152" s="8"/>
      <c r="F2152" s="8"/>
      <c r="G2152" s="143">
        <f>G2146+G2150</f>
        <v>2026923730.5700002</v>
      </c>
      <c r="H2152" s="143">
        <f>H2146+H2150</f>
        <v>2012598793</v>
      </c>
    </row>
    <row r="2153" spans="7:8" ht="15">
      <c r="G2153" s="140"/>
      <c r="H2153" s="140"/>
    </row>
    <row r="2154" spans="7:8" ht="15">
      <c r="G2154" s="140"/>
      <c r="H2154" s="140"/>
    </row>
    <row r="2155" spans="2:8" ht="15">
      <c r="B2155" s="132"/>
      <c r="C2155" s="74">
        <v>153200</v>
      </c>
      <c r="D2155" s="75" t="s">
        <v>669</v>
      </c>
      <c r="G2155" s="140"/>
      <c r="H2155" s="140"/>
    </row>
    <row r="2156" spans="1:8" ht="15">
      <c r="A2156" s="127" t="s">
        <v>1921</v>
      </c>
      <c r="B2156" s="31"/>
      <c r="C2156" s="31"/>
      <c r="D2156" s="31" t="s">
        <v>1923</v>
      </c>
      <c r="G2156" s="140">
        <f aca="true" t="shared" si="34" ref="G2156:G2174">G49</f>
        <v>34527187.18</v>
      </c>
      <c r="H2156" s="140">
        <v>17172269</v>
      </c>
    </row>
    <row r="2157" spans="1:8" ht="15">
      <c r="A2157" s="127" t="s">
        <v>1921</v>
      </c>
      <c r="B2157" s="31"/>
      <c r="C2157" s="31"/>
      <c r="D2157" s="31" t="s">
        <v>1924</v>
      </c>
      <c r="G2157" s="140">
        <f t="shared" si="34"/>
        <v>0</v>
      </c>
      <c r="H2157" s="140">
        <v>0</v>
      </c>
    </row>
    <row r="2158" spans="1:8" ht="15">
      <c r="A2158" s="127" t="s">
        <v>1921</v>
      </c>
      <c r="B2158" s="31"/>
      <c r="C2158" s="31"/>
      <c r="D2158" s="31" t="s">
        <v>1925</v>
      </c>
      <c r="G2158" s="140">
        <f t="shared" si="34"/>
        <v>3500000</v>
      </c>
      <c r="H2158" s="140">
        <v>3500000</v>
      </c>
    </row>
    <row r="2159" spans="1:8" ht="15">
      <c r="A2159" s="127" t="s">
        <v>1921</v>
      </c>
      <c r="B2159" s="31"/>
      <c r="C2159" s="31"/>
      <c r="D2159" s="31" t="s">
        <v>1926</v>
      </c>
      <c r="G2159" s="140">
        <f t="shared" si="34"/>
        <v>37085052</v>
      </c>
      <c r="H2159" s="140">
        <v>209160342</v>
      </c>
    </row>
    <row r="2160" spans="1:8" ht="15">
      <c r="A2160" s="127" t="s">
        <v>1921</v>
      </c>
      <c r="B2160" s="31"/>
      <c r="C2160" s="31"/>
      <c r="D2160" s="31" t="s">
        <v>1927</v>
      </c>
      <c r="G2160" s="140">
        <f t="shared" si="34"/>
        <v>9515367</v>
      </c>
      <c r="H2160" s="140">
        <v>9515367</v>
      </c>
    </row>
    <row r="2161" spans="1:8" ht="15">
      <c r="A2161" s="127" t="s">
        <v>1921</v>
      </c>
      <c r="B2161" s="31"/>
      <c r="C2161" s="31"/>
      <c r="D2161" s="31" t="s">
        <v>191</v>
      </c>
      <c r="G2161" s="140">
        <f t="shared" si="34"/>
        <v>0</v>
      </c>
      <c r="H2161" s="144"/>
    </row>
    <row r="2162" spans="1:8" ht="15">
      <c r="A2162" s="127" t="s">
        <v>1921</v>
      </c>
      <c r="B2162" s="31"/>
      <c r="C2162" s="31"/>
      <c r="D2162" s="31" t="s">
        <v>192</v>
      </c>
      <c r="G2162" s="140">
        <f t="shared" si="34"/>
        <v>20504730.7</v>
      </c>
      <c r="H2162" s="140"/>
    </row>
    <row r="2163" spans="1:8" ht="15">
      <c r="A2163" s="127" t="s">
        <v>1921</v>
      </c>
      <c r="B2163" s="31"/>
      <c r="C2163" s="31"/>
      <c r="D2163" s="31" t="s">
        <v>193</v>
      </c>
      <c r="G2163" s="140">
        <f t="shared" si="34"/>
        <v>0</v>
      </c>
      <c r="H2163" s="140"/>
    </row>
    <row r="2164" spans="1:8" ht="15">
      <c r="A2164" s="127" t="s">
        <v>1921</v>
      </c>
      <c r="B2164" s="31"/>
      <c r="C2164" s="31"/>
      <c r="D2164" s="31" t="s">
        <v>194</v>
      </c>
      <c r="G2164" s="140">
        <f t="shared" si="34"/>
        <v>0</v>
      </c>
      <c r="H2164" s="140"/>
    </row>
    <row r="2165" spans="1:8" ht="15">
      <c r="A2165" s="127" t="s">
        <v>1921</v>
      </c>
      <c r="B2165" s="31"/>
      <c r="C2165" s="31"/>
      <c r="D2165" s="31" t="s">
        <v>192</v>
      </c>
      <c r="G2165" s="140">
        <f t="shared" si="34"/>
        <v>0</v>
      </c>
      <c r="H2165" s="140"/>
    </row>
    <row r="2166" spans="1:8" ht="15">
      <c r="A2166" s="127" t="s">
        <v>1921</v>
      </c>
      <c r="B2166" s="31"/>
      <c r="C2166" s="31"/>
      <c r="D2166" s="31" t="s">
        <v>195</v>
      </c>
      <c r="G2166" s="140">
        <f t="shared" si="34"/>
        <v>0</v>
      </c>
      <c r="H2166" s="140"/>
    </row>
    <row r="2167" spans="1:8" ht="15">
      <c r="A2167" s="127" t="s">
        <v>1921</v>
      </c>
      <c r="B2167" s="31"/>
      <c r="C2167" s="31"/>
      <c r="D2167" s="31" t="s">
        <v>196</v>
      </c>
      <c r="G2167" s="140">
        <f t="shared" si="34"/>
        <v>0</v>
      </c>
      <c r="H2167" s="140"/>
    </row>
    <row r="2168" spans="1:8" ht="15">
      <c r="A2168" s="127" t="s">
        <v>1921</v>
      </c>
      <c r="B2168" s="31"/>
      <c r="C2168" s="31"/>
      <c r="D2168" s="31" t="s">
        <v>192</v>
      </c>
      <c r="G2168" s="140">
        <f t="shared" si="34"/>
        <v>0</v>
      </c>
      <c r="H2168" s="140">
        <v>247863398</v>
      </c>
    </row>
    <row r="2169" spans="1:8" ht="15">
      <c r="A2169" s="127" t="s">
        <v>1921</v>
      </c>
      <c r="B2169" s="31"/>
      <c r="C2169" s="31"/>
      <c r="D2169" s="31" t="s">
        <v>1445</v>
      </c>
      <c r="G2169" s="140">
        <f t="shared" si="34"/>
        <v>13047070</v>
      </c>
      <c r="H2169" s="140">
        <v>13047070</v>
      </c>
    </row>
    <row r="2170" spans="1:8" ht="15">
      <c r="A2170" s="127" t="s">
        <v>1921</v>
      </c>
      <c r="B2170" s="31"/>
      <c r="C2170" s="31"/>
      <c r="D2170" s="31" t="s">
        <v>1926</v>
      </c>
      <c r="G2170" s="140">
        <f t="shared" si="34"/>
        <v>0</v>
      </c>
      <c r="H2170" s="144"/>
    </row>
    <row r="2171" spans="1:8" ht="15">
      <c r="A2171" s="127" t="s">
        <v>1921</v>
      </c>
      <c r="B2171" s="31"/>
      <c r="C2171" s="31"/>
      <c r="D2171" s="31" t="s">
        <v>1446</v>
      </c>
      <c r="G2171" s="140">
        <f t="shared" si="34"/>
        <v>0</v>
      </c>
      <c r="H2171" s="140">
        <v>47482998</v>
      </c>
    </row>
    <row r="2172" spans="1:8" ht="15">
      <c r="A2172" s="127" t="s">
        <v>1921</v>
      </c>
      <c r="B2172" s="31"/>
      <c r="C2172" s="31"/>
      <c r="D2172" s="31" t="s">
        <v>1447</v>
      </c>
      <c r="G2172" s="140">
        <f t="shared" si="34"/>
        <v>0</v>
      </c>
      <c r="H2172" s="140">
        <v>1882196</v>
      </c>
    </row>
    <row r="2173" spans="1:8" ht="15">
      <c r="A2173" s="127" t="s">
        <v>1921</v>
      </c>
      <c r="B2173" s="31"/>
      <c r="C2173" s="31"/>
      <c r="D2173" s="31" t="s">
        <v>1448</v>
      </c>
      <c r="G2173" s="140">
        <f t="shared" si="34"/>
        <v>0</v>
      </c>
      <c r="H2173" s="140">
        <v>8396050</v>
      </c>
    </row>
    <row r="2174" spans="1:8" ht="15">
      <c r="A2174" s="127" t="s">
        <v>1921</v>
      </c>
      <c r="B2174" s="31"/>
      <c r="C2174" s="31"/>
      <c r="D2174" s="31" t="s">
        <v>1449</v>
      </c>
      <c r="G2174" s="140">
        <f t="shared" si="34"/>
        <v>305417</v>
      </c>
      <c r="H2174" s="140">
        <v>305417</v>
      </c>
    </row>
    <row r="2175" spans="1:8" ht="15">
      <c r="A2175" s="127" t="s">
        <v>1450</v>
      </c>
      <c r="B2175" s="31"/>
      <c r="C2175" s="31"/>
      <c r="D2175" s="31" t="s">
        <v>1451</v>
      </c>
      <c r="E2175" s="31"/>
      <c r="G2175" s="140">
        <f aca="true" t="shared" si="35" ref="G2175:G2183">G69-H69</f>
        <v>96483334</v>
      </c>
      <c r="H2175" s="140">
        <v>104406934</v>
      </c>
    </row>
    <row r="2176" spans="1:8" ht="15">
      <c r="A2176" s="127" t="s">
        <v>1452</v>
      </c>
      <c r="B2176" s="31"/>
      <c r="C2176" s="31"/>
      <c r="D2176" s="31" t="s">
        <v>1453</v>
      </c>
      <c r="E2176" s="31"/>
      <c r="G2176" s="140">
        <f t="shared" si="35"/>
        <v>400818780</v>
      </c>
      <c r="H2176" s="140">
        <v>126018548</v>
      </c>
    </row>
    <row r="2177" spans="1:8" ht="15">
      <c r="A2177" s="127" t="s">
        <v>1454</v>
      </c>
      <c r="B2177" s="31"/>
      <c r="C2177" s="34"/>
      <c r="D2177" s="31" t="s">
        <v>1455</v>
      </c>
      <c r="E2177" s="31"/>
      <c r="G2177" s="140">
        <f t="shared" si="35"/>
        <v>0</v>
      </c>
      <c r="H2177" s="140">
        <v>419537501</v>
      </c>
    </row>
    <row r="2178" spans="1:8" ht="15">
      <c r="A2178" s="127" t="s">
        <v>1456</v>
      </c>
      <c r="B2178" s="31"/>
      <c r="C2178" s="31"/>
      <c r="D2178" s="31" t="s">
        <v>1457</v>
      </c>
      <c r="E2178" s="31"/>
      <c r="G2178" s="140">
        <f t="shared" si="35"/>
        <v>27367118</v>
      </c>
      <c r="H2178" s="140">
        <v>695696</v>
      </c>
    </row>
    <row r="2179" spans="1:8" ht="15">
      <c r="A2179" s="127" t="s">
        <v>1458</v>
      </c>
      <c r="B2179" s="31"/>
      <c r="C2179" s="34"/>
      <c r="D2179" s="31" t="s">
        <v>1459</v>
      </c>
      <c r="E2179" s="31"/>
      <c r="G2179" s="140">
        <f t="shared" si="35"/>
        <v>66785198</v>
      </c>
      <c r="H2179" s="144">
        <v>29059619</v>
      </c>
    </row>
    <row r="2180" spans="1:8" ht="15">
      <c r="A2180" s="127" t="s">
        <v>1460</v>
      </c>
      <c r="B2180" s="31"/>
      <c r="C2180" s="31"/>
      <c r="D2180" s="31" t="s">
        <v>1461</v>
      </c>
      <c r="E2180" s="31"/>
      <c r="G2180" s="140">
        <f t="shared" si="35"/>
        <v>4377548</v>
      </c>
      <c r="H2180" s="140">
        <v>4323711</v>
      </c>
    </row>
    <row r="2181" spans="1:8" ht="15">
      <c r="A2181" s="127" t="s">
        <v>1462</v>
      </c>
      <c r="B2181" s="31"/>
      <c r="C2181" s="31"/>
      <c r="D2181" s="31" t="s">
        <v>1463</v>
      </c>
      <c r="E2181" s="31"/>
      <c r="G2181" s="140">
        <f t="shared" si="35"/>
        <v>200000</v>
      </c>
      <c r="H2181" s="140">
        <v>-100000</v>
      </c>
    </row>
    <row r="2182" spans="1:8" ht="15">
      <c r="A2182" s="127" t="s">
        <v>1464</v>
      </c>
      <c r="B2182" s="31"/>
      <c r="C2182" s="34"/>
      <c r="D2182" s="31" t="s">
        <v>1465</v>
      </c>
      <c r="E2182" s="31"/>
      <c r="G2182" s="140">
        <f t="shared" si="35"/>
        <v>0</v>
      </c>
      <c r="H2182" s="140">
        <v>20000</v>
      </c>
    </row>
    <row r="2183" spans="1:8" ht="15">
      <c r="A2183" s="127" t="s">
        <v>1466</v>
      </c>
      <c r="B2183" s="31"/>
      <c r="C2183" s="34"/>
      <c r="D2183" s="31" t="s">
        <v>1467</v>
      </c>
      <c r="E2183" s="31"/>
      <c r="G2183" s="140">
        <f t="shared" si="35"/>
        <v>3690258</v>
      </c>
      <c r="H2183" s="140">
        <v>3690258</v>
      </c>
    </row>
    <row r="2184" spans="1:8" ht="15">
      <c r="A2184" s="127" t="s">
        <v>1468</v>
      </c>
      <c r="B2184" s="31"/>
      <c r="C2184" s="31"/>
      <c r="D2184" s="31" t="s">
        <v>1469</v>
      </c>
      <c r="G2184" s="140">
        <f>G78-1799112917</f>
        <v>0</v>
      </c>
      <c r="H2184" s="140"/>
    </row>
    <row r="2185" spans="1:8" ht="15">
      <c r="A2185" s="127" t="s">
        <v>1470</v>
      </c>
      <c r="B2185" s="31"/>
      <c r="C2185" s="31"/>
      <c r="D2185" s="31" t="s">
        <v>1471</v>
      </c>
      <c r="G2185" s="140">
        <f>G79-H79</f>
        <v>0</v>
      </c>
      <c r="H2185" s="140"/>
    </row>
    <row r="2186" spans="1:8" ht="15">
      <c r="A2186" s="127" t="s">
        <v>1472</v>
      </c>
      <c r="B2186" s="31"/>
      <c r="C2186" s="31"/>
      <c r="D2186" s="31" t="s">
        <v>1473</v>
      </c>
      <c r="G2186" s="140">
        <f>G80-H80</f>
        <v>0</v>
      </c>
      <c r="H2186" s="140"/>
    </row>
    <row r="2187" spans="1:8" ht="15">
      <c r="A2187" s="127" t="s">
        <v>1474</v>
      </c>
      <c r="B2187" s="31"/>
      <c r="C2187" s="31"/>
      <c r="D2187" s="31" t="s">
        <v>1475</v>
      </c>
      <c r="G2187" s="140">
        <f>G81</f>
        <v>0</v>
      </c>
      <c r="H2187" s="140"/>
    </row>
    <row r="2188" spans="1:8" ht="15">
      <c r="A2188" s="127" t="s">
        <v>1494</v>
      </c>
      <c r="B2188" s="31"/>
      <c r="C2188" s="31"/>
      <c r="D2188" s="31" t="s">
        <v>1495</v>
      </c>
      <c r="F2188" s="140"/>
      <c r="G2188" s="140">
        <f>G125</f>
        <v>20791162</v>
      </c>
      <c r="H2188" s="140">
        <v>34127831</v>
      </c>
    </row>
    <row r="2189" spans="2:8" ht="15">
      <c r="B2189" s="31"/>
      <c r="C2189" s="73"/>
      <c r="D2189" s="9" t="s">
        <v>1221</v>
      </c>
      <c r="G2189" s="140">
        <f>G2261</f>
        <v>978120459.31</v>
      </c>
      <c r="H2189" s="140">
        <v>969623970</v>
      </c>
    </row>
    <row r="2190" spans="1:8" ht="15">
      <c r="A2190" s="127" t="s">
        <v>1959</v>
      </c>
      <c r="B2190" s="127" t="s">
        <v>1161</v>
      </c>
      <c r="C2190" s="34"/>
      <c r="D2190" s="31" t="s">
        <v>1697</v>
      </c>
      <c r="G2190" s="140">
        <f>G631</f>
        <v>0</v>
      </c>
      <c r="H2190" s="140"/>
    </row>
    <row r="2191" spans="1:8" ht="15">
      <c r="A2191" s="127" t="s">
        <v>1478</v>
      </c>
      <c r="B2191" s="31"/>
      <c r="C2191" s="34"/>
      <c r="D2191" s="31" t="s">
        <v>1479</v>
      </c>
      <c r="G2191" s="156">
        <f>G82-H83</f>
        <v>-21471518</v>
      </c>
      <c r="H2191" s="140">
        <v>-9804653</v>
      </c>
    </row>
    <row r="2192" spans="1:8" ht="17.25">
      <c r="A2192" s="127" t="s">
        <v>1480</v>
      </c>
      <c r="B2192" s="31"/>
      <c r="C2192" s="34"/>
      <c r="D2192" s="31" t="s">
        <v>1481</v>
      </c>
      <c r="G2192" s="157">
        <f>G83-H84</f>
        <v>-59576845</v>
      </c>
      <c r="H2192" s="142">
        <v>-231652135</v>
      </c>
    </row>
    <row r="2193" spans="2:8" ht="15">
      <c r="B2193" s="31"/>
      <c r="C2193" s="73"/>
      <c r="G2193" s="156"/>
      <c r="H2193" s="144"/>
    </row>
    <row r="2194" spans="2:8" ht="17.25">
      <c r="B2194" s="31"/>
      <c r="C2194" s="74">
        <v>154000</v>
      </c>
      <c r="D2194" s="81" t="s">
        <v>719</v>
      </c>
      <c r="E2194" s="8"/>
      <c r="F2194" s="8"/>
      <c r="G2194" s="158">
        <f>SUM(G2156:G2193)</f>
        <v>1636070318.19</v>
      </c>
      <c r="H2194" s="158">
        <f>SUM(H2156:H2193)</f>
        <v>2008272387</v>
      </c>
    </row>
    <row r="2195" spans="2:8" ht="15">
      <c r="B2195" s="31"/>
      <c r="C2195" s="73"/>
      <c r="G2195" s="156"/>
      <c r="H2195" s="140"/>
    </row>
    <row r="2196" spans="2:8" ht="15">
      <c r="B2196" s="31"/>
      <c r="C2196" s="73"/>
      <c r="G2196" s="156"/>
      <c r="H2196" s="140"/>
    </row>
    <row r="2197" spans="2:8" ht="15">
      <c r="B2197" s="132"/>
      <c r="C2197" s="74">
        <v>174000</v>
      </c>
      <c r="D2197" s="75" t="s">
        <v>1801</v>
      </c>
      <c r="G2197" s="156"/>
      <c r="H2197" s="144"/>
    </row>
    <row r="2198" spans="1:8" ht="15">
      <c r="A2198" s="127" t="s">
        <v>1482</v>
      </c>
      <c r="B2198" s="31"/>
      <c r="C2198" s="34"/>
      <c r="D2198" s="31" t="s">
        <v>1483</v>
      </c>
      <c r="F2198" s="140"/>
      <c r="G2198" s="156">
        <f>G85</f>
        <v>125258122</v>
      </c>
      <c r="H2198" s="140">
        <v>1657513</v>
      </c>
    </row>
    <row r="2199" spans="1:8" ht="15">
      <c r="A2199" s="127" t="s">
        <v>1482</v>
      </c>
      <c r="B2199" s="31"/>
      <c r="C2199" s="34"/>
      <c r="D2199" s="31" t="s">
        <v>1484</v>
      </c>
      <c r="F2199" s="140"/>
      <c r="G2199" s="156">
        <f>G86</f>
        <v>1457601678</v>
      </c>
      <c r="H2199" s="140"/>
    </row>
    <row r="2200" spans="1:8" ht="15">
      <c r="A2200" s="127" t="s">
        <v>1485</v>
      </c>
      <c r="B2200" s="31"/>
      <c r="C2200" s="34"/>
      <c r="D2200" s="31" t="s">
        <v>1486</v>
      </c>
      <c r="F2200" s="140"/>
      <c r="G2200" s="156">
        <f>G87</f>
        <v>460953196</v>
      </c>
      <c r="H2200" s="140">
        <v>568748032</v>
      </c>
    </row>
    <row r="2201" spans="1:8" ht="15">
      <c r="A2201" s="127" t="s">
        <v>1487</v>
      </c>
      <c r="B2201" s="31"/>
      <c r="C2201" s="34"/>
      <c r="D2201" s="31" t="s">
        <v>1488</v>
      </c>
      <c r="F2201" s="140"/>
      <c r="G2201" s="156">
        <f>G88-H88</f>
        <v>-22880</v>
      </c>
      <c r="H2201" s="140">
        <v>2317</v>
      </c>
    </row>
    <row r="2202" spans="1:8" ht="15">
      <c r="A2202" s="127" t="s">
        <v>1710</v>
      </c>
      <c r="B2202" s="31"/>
      <c r="C2202" s="34"/>
      <c r="D2202" s="31" t="s">
        <v>1711</v>
      </c>
      <c r="F2202" s="140"/>
      <c r="G2202" s="156">
        <f>G89-H89</f>
        <v>838747922</v>
      </c>
      <c r="H2202" s="140">
        <v>565217358</v>
      </c>
    </row>
    <row r="2203" spans="1:8" ht="15">
      <c r="A2203" s="127" t="s">
        <v>1712</v>
      </c>
      <c r="B2203" s="31"/>
      <c r="C2203" s="34"/>
      <c r="D2203" s="31" t="s">
        <v>1713</v>
      </c>
      <c r="F2203" s="140"/>
      <c r="G2203" s="156">
        <f>G90</f>
        <v>3216842560</v>
      </c>
      <c r="H2203" s="140"/>
    </row>
    <row r="2204" spans="1:8" ht="15">
      <c r="A2204" s="127" t="s">
        <v>1002</v>
      </c>
      <c r="B2204" s="31"/>
      <c r="C2204" s="34"/>
      <c r="D2204" s="31" t="s">
        <v>1003</v>
      </c>
      <c r="F2204" s="140"/>
      <c r="G2204" s="156">
        <f>G91</f>
        <v>2745587352</v>
      </c>
      <c r="H2204" s="140">
        <v>585117417</v>
      </c>
    </row>
    <row r="2205" spans="1:8" ht="15">
      <c r="A2205" s="127" t="s">
        <v>1004</v>
      </c>
      <c r="B2205" s="31"/>
      <c r="C2205" s="34"/>
      <c r="D2205" s="31" t="s">
        <v>1005</v>
      </c>
      <c r="F2205" s="140"/>
      <c r="G2205" s="156">
        <f>G92</f>
        <v>1176434346</v>
      </c>
      <c r="H2205" s="140">
        <v>289968306</v>
      </c>
    </row>
    <row r="2206" spans="1:8" ht="15">
      <c r="A2206" s="127" t="s">
        <v>1006</v>
      </c>
      <c r="B2206" s="31"/>
      <c r="C2206" s="31"/>
      <c r="D2206" s="31" t="s">
        <v>1007</v>
      </c>
      <c r="F2206" s="140"/>
      <c r="G2206" s="156">
        <f>G93</f>
        <v>211898159</v>
      </c>
      <c r="H2206" s="140">
        <v>20526810</v>
      </c>
    </row>
    <row r="2207" spans="1:8" ht="15">
      <c r="A2207" s="127" t="s">
        <v>1008</v>
      </c>
      <c r="B2207" s="31"/>
      <c r="C2207" s="31"/>
      <c r="D2207" s="31" t="s">
        <v>1009</v>
      </c>
      <c r="F2207" s="140"/>
      <c r="G2207" s="156">
        <f>G94</f>
        <v>5590335</v>
      </c>
      <c r="H2207" s="140">
        <v>5267187</v>
      </c>
    </row>
    <row r="2208" spans="1:8" ht="15">
      <c r="A2208" s="127" t="s">
        <v>1010</v>
      </c>
      <c r="B2208" s="31"/>
      <c r="C2208" s="34"/>
      <c r="D2208" s="31" t="s">
        <v>1699</v>
      </c>
      <c r="F2208" s="140"/>
      <c r="G2208" s="156">
        <f>G95-H95</f>
        <v>0</v>
      </c>
      <c r="H2208" s="140">
        <v>7827896</v>
      </c>
    </row>
    <row r="2209" spans="1:8" ht="17.25">
      <c r="A2209" s="127" t="s">
        <v>1700</v>
      </c>
      <c r="B2209" s="31"/>
      <c r="C2209" s="34"/>
      <c r="D2209" s="31" t="s">
        <v>1701</v>
      </c>
      <c r="F2209" s="140"/>
      <c r="G2209" s="157">
        <f>G96-H96</f>
        <v>330920</v>
      </c>
      <c r="H2209" s="142">
        <v>0</v>
      </c>
    </row>
    <row r="2210" spans="7:8" ht="15">
      <c r="G2210" s="140"/>
      <c r="H2210" s="140"/>
    </row>
    <row r="2211" spans="2:8" ht="17.25">
      <c r="B2211" s="132"/>
      <c r="C2211" s="74">
        <v>179900</v>
      </c>
      <c r="D2211" s="81" t="s">
        <v>1802</v>
      </c>
      <c r="E2211" s="8"/>
      <c r="F2211" s="8"/>
      <c r="G2211" s="143">
        <f>SUM(G2198:G2210)</f>
        <v>10239221710</v>
      </c>
      <c r="H2211" s="143">
        <f>SUM(H2198:H2210)</f>
        <v>2044332836</v>
      </c>
    </row>
    <row r="2212" spans="7:8" ht="15">
      <c r="G2212" s="140"/>
      <c r="H2212" s="140"/>
    </row>
    <row r="2213" spans="2:8" ht="15">
      <c r="B2213" s="31"/>
      <c r="C2213" s="73"/>
      <c r="G2213" s="140"/>
      <c r="H2213" s="140"/>
    </row>
    <row r="2214" spans="2:8" ht="15">
      <c r="B2214" s="132"/>
      <c r="C2214" s="74">
        <v>201000</v>
      </c>
      <c r="D2214" s="75" t="s">
        <v>1803</v>
      </c>
      <c r="G2214" s="140"/>
      <c r="H2214" s="140"/>
    </row>
    <row r="2215" spans="1:8" ht="17.25">
      <c r="A2215" s="127" t="s">
        <v>1702</v>
      </c>
      <c r="B2215" s="31"/>
      <c r="C2215" s="34"/>
      <c r="D2215" s="31" t="s">
        <v>1703</v>
      </c>
      <c r="G2215" s="142">
        <f>H98</f>
        <v>3598462000</v>
      </c>
      <c r="H2215" s="142">
        <v>3598462000</v>
      </c>
    </row>
    <row r="2216" spans="2:8" ht="17.25">
      <c r="B2216" s="31"/>
      <c r="C2216" s="73"/>
      <c r="D2216" s="75" t="s">
        <v>943</v>
      </c>
      <c r="E2216" s="75"/>
      <c r="G2216" s="155">
        <f>SUM(G2215)</f>
        <v>3598462000</v>
      </c>
      <c r="H2216" s="155">
        <f>SUM(H2215)</f>
        <v>3598462000</v>
      </c>
    </row>
    <row r="2217" spans="2:8" ht="15">
      <c r="B2217" s="31"/>
      <c r="C2217" s="73"/>
      <c r="G2217" s="140"/>
      <c r="H2217" s="140"/>
    </row>
    <row r="2218" spans="2:8" ht="15">
      <c r="B2218" s="132"/>
      <c r="C2218" s="74">
        <v>202200</v>
      </c>
      <c r="D2218" s="75" t="s">
        <v>186</v>
      </c>
      <c r="G2218" s="140"/>
      <c r="H2218" s="140"/>
    </row>
    <row r="2219" spans="1:8" ht="15">
      <c r="A2219" s="127" t="s">
        <v>1704</v>
      </c>
      <c r="B2219" s="31"/>
      <c r="C2219" s="34"/>
      <c r="D2219" s="31" t="s">
        <v>1705</v>
      </c>
      <c r="G2219" s="140">
        <f>H99</f>
        <v>482993875</v>
      </c>
      <c r="H2219" s="140">
        <v>482993875</v>
      </c>
    </row>
    <row r="2220" spans="1:8" ht="15">
      <c r="A2220" s="127"/>
      <c r="B2220" s="31"/>
      <c r="C2220" s="34"/>
      <c r="D2220" s="31" t="s">
        <v>249</v>
      </c>
      <c r="G2220" s="140">
        <f>H100</f>
        <v>0</v>
      </c>
      <c r="H2220" s="140">
        <v>0</v>
      </c>
    </row>
    <row r="2221" spans="1:8" ht="17.25">
      <c r="A2221" s="127" t="s">
        <v>250</v>
      </c>
      <c r="B2221" s="31"/>
      <c r="C2221" s="34"/>
      <c r="D2221" s="31" t="s">
        <v>251</v>
      </c>
      <c r="G2221" s="142">
        <f>H101</f>
        <v>17731300835</v>
      </c>
      <c r="H2221" s="142">
        <v>10610879549</v>
      </c>
    </row>
    <row r="2222" spans="2:8" ht="15">
      <c r="B2222" s="31"/>
      <c r="C2222" s="73"/>
      <c r="G2222" s="140"/>
      <c r="H2222" s="140"/>
    </row>
    <row r="2223" spans="2:8" ht="17.25">
      <c r="B2223" s="31"/>
      <c r="C2223" s="73"/>
      <c r="D2223" s="75" t="s">
        <v>943</v>
      </c>
      <c r="E2223" s="75"/>
      <c r="G2223" s="155">
        <f>SUM(G2219:G2222)</f>
        <v>18214294710</v>
      </c>
      <c r="H2223" s="155">
        <f>SUM(H2219:H2222)</f>
        <v>11093873424</v>
      </c>
    </row>
    <row r="2224" spans="2:8" ht="17.25">
      <c r="B2224" s="31"/>
      <c r="C2224" s="73"/>
      <c r="D2224" s="75"/>
      <c r="E2224" s="75"/>
      <c r="G2224" s="155"/>
      <c r="H2224" s="155"/>
    </row>
    <row r="2225" spans="2:8" ht="17.25">
      <c r="B2225" s="31"/>
      <c r="C2225" s="73"/>
      <c r="D2225" s="75" t="s">
        <v>1804</v>
      </c>
      <c r="E2225" s="75"/>
      <c r="G2225" s="155"/>
      <c r="H2225" s="155"/>
    </row>
    <row r="2226" spans="2:8" ht="17.25">
      <c r="B2226" s="31"/>
      <c r="C2226" s="73"/>
      <c r="D2226" s="9" t="s">
        <v>1805</v>
      </c>
      <c r="E2226" s="75"/>
      <c r="G2226" s="155"/>
      <c r="H2226" s="155"/>
    </row>
    <row r="2227" spans="2:8" ht="17.25">
      <c r="B2227" s="31"/>
      <c r="C2227" s="73"/>
      <c r="D2227" s="75"/>
      <c r="E2227" s="75"/>
      <c r="G2227" s="155"/>
      <c r="H2227" s="155"/>
    </row>
    <row r="2228" spans="2:8" ht="17.25">
      <c r="B2228" s="31"/>
      <c r="C2228" s="73"/>
      <c r="D2228" s="75"/>
      <c r="E2228" s="75"/>
      <c r="G2228" s="155"/>
      <c r="H2228" s="155"/>
    </row>
    <row r="2229" spans="2:8" ht="15">
      <c r="B2229" s="31"/>
      <c r="C2229" s="73"/>
      <c r="G2229" s="140"/>
      <c r="H2229" s="140"/>
    </row>
    <row r="2230" spans="2:8" ht="15">
      <c r="B2230" s="132"/>
      <c r="C2230" s="74">
        <v>221400</v>
      </c>
      <c r="D2230" s="75" t="s">
        <v>1806</v>
      </c>
      <c r="G2230" s="140"/>
      <c r="H2230" s="140"/>
    </row>
    <row r="2231" spans="1:8" ht="15">
      <c r="A2231" s="127" t="s">
        <v>1807</v>
      </c>
      <c r="B2231" s="31"/>
      <c r="C2231" s="31"/>
      <c r="D2231" s="31" t="s">
        <v>1808</v>
      </c>
      <c r="G2231" s="140">
        <v>0</v>
      </c>
      <c r="H2231" s="140"/>
    </row>
    <row r="2232" spans="2:8" ht="15">
      <c r="B2232" s="31"/>
      <c r="C2232" s="73"/>
      <c r="G2232" s="140"/>
      <c r="H2232" s="140"/>
    </row>
    <row r="2233" spans="2:8" ht="15">
      <c r="B2233" s="31"/>
      <c r="C2233" s="73"/>
      <c r="D2233" s="75" t="s">
        <v>943</v>
      </c>
      <c r="E2233" s="75"/>
      <c r="G2233" s="140">
        <f>SUM(G2231:G2232)</f>
        <v>0</v>
      </c>
      <c r="H2233" s="140"/>
    </row>
    <row r="2234" spans="2:8" ht="15">
      <c r="B2234" s="31"/>
      <c r="C2234" s="73"/>
      <c r="G2234" s="140"/>
      <c r="H2234" s="140"/>
    </row>
    <row r="2235" spans="2:8" ht="15">
      <c r="B2235" s="132"/>
      <c r="C2235" s="74">
        <v>223200</v>
      </c>
      <c r="D2235" s="75" t="s">
        <v>1809</v>
      </c>
      <c r="G2235" s="140"/>
      <c r="H2235" s="140"/>
    </row>
    <row r="2236" spans="1:8" ht="17.25">
      <c r="A2236" s="127" t="s">
        <v>254</v>
      </c>
      <c r="B2236" s="31"/>
      <c r="C2236" s="34"/>
      <c r="D2236" s="31" t="s">
        <v>1969</v>
      </c>
      <c r="G2236" s="142">
        <f>H104</f>
        <v>679911864</v>
      </c>
      <c r="H2236" s="142">
        <v>730275706</v>
      </c>
    </row>
    <row r="2237" spans="2:8" ht="17.25">
      <c r="B2237" s="31"/>
      <c r="C2237" s="73"/>
      <c r="D2237" s="75" t="s">
        <v>943</v>
      </c>
      <c r="E2237" s="75"/>
      <c r="G2237" s="155">
        <f>SUM(G2236)</f>
        <v>679911864</v>
      </c>
      <c r="H2237" s="155">
        <f>SUM(H2236)</f>
        <v>730275706</v>
      </c>
    </row>
    <row r="2238" spans="2:8" ht="15">
      <c r="B2238" s="31"/>
      <c r="C2238" s="73"/>
      <c r="G2238" s="140"/>
      <c r="H2238" s="140"/>
    </row>
    <row r="2239" spans="2:8" ht="15">
      <c r="B2239" s="132"/>
      <c r="C2239" s="74">
        <v>251400</v>
      </c>
      <c r="D2239" s="75" t="s">
        <v>1015</v>
      </c>
      <c r="G2239" s="140"/>
      <c r="H2239" s="140"/>
    </row>
    <row r="2240" spans="2:8" ht="15">
      <c r="B2240" s="31"/>
      <c r="C2240" s="73"/>
      <c r="D2240" s="9" t="s">
        <v>1810</v>
      </c>
      <c r="G2240" s="140">
        <v>0</v>
      </c>
      <c r="H2240" s="140"/>
    </row>
    <row r="2241" spans="2:8" ht="15">
      <c r="B2241" s="31"/>
      <c r="C2241" s="73"/>
      <c r="D2241" s="75" t="s">
        <v>943</v>
      </c>
      <c r="E2241" s="75"/>
      <c r="G2241" s="144">
        <f>SUM(G2240)</f>
        <v>0</v>
      </c>
      <c r="H2241" s="144"/>
    </row>
    <row r="2242" spans="2:8" ht="15">
      <c r="B2242" s="31"/>
      <c r="C2242" s="73"/>
      <c r="G2242" s="140"/>
      <c r="H2242" s="140"/>
    </row>
    <row r="2243" spans="2:8" ht="15">
      <c r="B2243" s="132"/>
      <c r="C2243" s="74">
        <v>253200</v>
      </c>
      <c r="D2243" s="75" t="s">
        <v>1017</v>
      </c>
      <c r="G2243" s="140"/>
      <c r="H2243" s="140"/>
    </row>
    <row r="2244" spans="1:8" ht="15">
      <c r="A2244" s="127" t="s">
        <v>580</v>
      </c>
      <c r="B2244" s="31"/>
      <c r="C2244" s="34"/>
      <c r="D2244" s="31" t="s">
        <v>581</v>
      </c>
      <c r="G2244" s="140">
        <f>H108</f>
        <v>50363841</v>
      </c>
      <c r="H2244" s="140">
        <v>50363841</v>
      </c>
    </row>
    <row r="2245" spans="2:8" ht="15">
      <c r="B2245" s="31"/>
      <c r="C2245" s="73"/>
      <c r="G2245" s="140"/>
      <c r="H2245" s="140"/>
    </row>
    <row r="2246" spans="2:8" ht="15">
      <c r="B2246" s="31"/>
      <c r="C2246" s="73"/>
      <c r="D2246" s="75" t="s">
        <v>943</v>
      </c>
      <c r="E2246" s="75"/>
      <c r="G2246" s="144">
        <f>SUM(G2244:G2245)</f>
        <v>50363841</v>
      </c>
      <c r="H2246" s="144">
        <f>SUM(H2244:H2245)</f>
        <v>50363841</v>
      </c>
    </row>
    <row r="2247" spans="2:8" ht="15">
      <c r="B2247" s="31"/>
      <c r="C2247" s="73"/>
      <c r="G2247" s="140"/>
      <c r="H2247" s="140"/>
    </row>
    <row r="2248" spans="2:8" ht="15">
      <c r="B2248" s="132"/>
      <c r="C2248" s="74">
        <v>255200</v>
      </c>
      <c r="D2248" s="75" t="s">
        <v>1811</v>
      </c>
      <c r="G2248" s="140"/>
      <c r="H2248" s="140"/>
    </row>
    <row r="2249" spans="1:8" ht="15">
      <c r="A2249" s="127" t="s">
        <v>1712</v>
      </c>
      <c r="B2249" s="31"/>
      <c r="C2249" s="34"/>
      <c r="D2249" s="31" t="s">
        <v>1713</v>
      </c>
      <c r="G2249" s="140">
        <f>H90</f>
        <v>0</v>
      </c>
      <c r="H2249" s="140">
        <v>4837798726</v>
      </c>
    </row>
    <row r="2250" spans="1:8" ht="17.25">
      <c r="A2250" s="127" t="s">
        <v>252</v>
      </c>
      <c r="B2250" s="31"/>
      <c r="C2250" s="31"/>
      <c r="D2250" s="31" t="s">
        <v>253</v>
      </c>
      <c r="G2250" s="142">
        <f>H103-G103</f>
        <v>0</v>
      </c>
      <c r="H2250" s="142">
        <v>500000000</v>
      </c>
    </row>
    <row r="2251" spans="2:8" ht="17.25">
      <c r="B2251" s="31"/>
      <c r="C2251" s="73"/>
      <c r="D2251" s="75" t="s">
        <v>943</v>
      </c>
      <c r="G2251" s="155">
        <f>SUM(G2249:G2250)</f>
        <v>0</v>
      </c>
      <c r="H2251" s="155">
        <f>SUM(H2249:H2250)</f>
        <v>5337798726</v>
      </c>
    </row>
    <row r="2252" spans="2:8" ht="15">
      <c r="B2252" s="31"/>
      <c r="C2252" s="73"/>
      <c r="D2252" s="31"/>
      <c r="G2252" s="140"/>
      <c r="H2252" s="140"/>
    </row>
    <row r="2253" spans="2:8" ht="15">
      <c r="B2253" s="31"/>
      <c r="C2253" s="73"/>
      <c r="E2253" s="75"/>
      <c r="G2253" s="140"/>
      <c r="H2253" s="140"/>
    </row>
    <row r="2254" spans="2:8" ht="15">
      <c r="B2254" s="132"/>
      <c r="C2254" s="74">
        <v>257200</v>
      </c>
      <c r="D2254" s="75" t="s">
        <v>426</v>
      </c>
      <c r="G2254" s="140"/>
      <c r="H2254" s="140"/>
    </row>
    <row r="2255" spans="1:8" ht="15">
      <c r="A2255" s="127" t="s">
        <v>582</v>
      </c>
      <c r="B2255" s="31"/>
      <c r="C2255" s="34"/>
      <c r="D2255" s="31" t="s">
        <v>583</v>
      </c>
      <c r="G2255" s="140">
        <f>H109-G109</f>
        <v>31113085</v>
      </c>
      <c r="H2255" s="140">
        <v>47744385</v>
      </c>
    </row>
    <row r="2256" spans="2:8" ht="15">
      <c r="B2256" s="31"/>
      <c r="C2256" s="73"/>
      <c r="D2256" s="75" t="s">
        <v>943</v>
      </c>
      <c r="E2256" s="75"/>
      <c r="G2256" s="144">
        <f>SUM(G2255)</f>
        <v>31113085</v>
      </c>
      <c r="H2256" s="144">
        <f>SUM(H2255)</f>
        <v>47744385</v>
      </c>
    </row>
    <row r="2257" spans="2:8" ht="15">
      <c r="B2257" s="31"/>
      <c r="C2257" s="73"/>
      <c r="G2257" s="140"/>
      <c r="H2257" s="140"/>
    </row>
    <row r="2258" spans="2:8" ht="15">
      <c r="B2258" s="132"/>
      <c r="C2258" s="74">
        <v>261200</v>
      </c>
      <c r="D2258" s="75" t="s">
        <v>577</v>
      </c>
      <c r="G2258" s="140"/>
      <c r="H2258" s="140"/>
    </row>
    <row r="2259" spans="1:8" ht="15">
      <c r="A2259" s="127" t="s">
        <v>1789</v>
      </c>
      <c r="B2259" s="31"/>
      <c r="C2259" s="34"/>
      <c r="D2259" s="31" t="s">
        <v>1790</v>
      </c>
      <c r="G2259" s="140">
        <f>H105-G105</f>
        <v>-142684747</v>
      </c>
      <c r="H2259" s="140">
        <v>-200183922</v>
      </c>
    </row>
    <row r="2260" spans="1:8" ht="15">
      <c r="A2260" s="127" t="s">
        <v>1793</v>
      </c>
      <c r="B2260" s="31"/>
      <c r="C2260" s="34"/>
      <c r="D2260" s="31" t="s">
        <v>579</v>
      </c>
      <c r="G2260" s="140">
        <f>H107-G107</f>
        <v>0</v>
      </c>
      <c r="H2260" s="140">
        <v>-38610305</v>
      </c>
    </row>
    <row r="2261" spans="2:8" ht="15">
      <c r="B2261" s="31"/>
      <c r="C2261" s="73"/>
      <c r="D2261" s="9" t="s">
        <v>1542</v>
      </c>
      <c r="G2261" s="140">
        <v>978120459.31</v>
      </c>
      <c r="H2261" s="140">
        <f>969623970-13355</f>
        <v>969610615</v>
      </c>
    </row>
    <row r="2262" spans="2:8" ht="15">
      <c r="B2262" s="31"/>
      <c r="C2262" s="73"/>
      <c r="D2262" s="75" t="s">
        <v>1543</v>
      </c>
      <c r="G2262" s="144">
        <f>SUM(G2259:G2261)</f>
        <v>835435712.31</v>
      </c>
      <c r="H2262" s="144">
        <f>SUM(H2259:H2261)</f>
        <v>730816388</v>
      </c>
    </row>
    <row r="2263" spans="2:8" ht="15">
      <c r="B2263" s="31"/>
      <c r="C2263" s="73"/>
      <c r="G2263" s="140"/>
      <c r="H2263" s="140"/>
    </row>
    <row r="2264" spans="2:8" ht="15">
      <c r="B2264" s="31"/>
      <c r="C2264" s="74">
        <v>261400</v>
      </c>
      <c r="D2264" s="75" t="s">
        <v>578</v>
      </c>
      <c r="G2264" s="140"/>
      <c r="H2264" s="140"/>
    </row>
    <row r="2265" spans="1:8" ht="15">
      <c r="A2265" s="127" t="s">
        <v>1145</v>
      </c>
      <c r="B2265" s="31"/>
      <c r="C2265" s="31"/>
      <c r="D2265" s="31" t="s">
        <v>1544</v>
      </c>
      <c r="G2265" s="140">
        <f>H131-G131</f>
        <v>1773824655</v>
      </c>
      <c r="H2265" s="140">
        <v>3899440472</v>
      </c>
    </row>
    <row r="2266" spans="2:8" ht="15">
      <c r="B2266" s="31"/>
      <c r="C2266" s="73"/>
      <c r="D2266" s="75" t="s">
        <v>260</v>
      </c>
      <c r="G2266" s="144">
        <f>SUM(G2265)</f>
        <v>1773824655</v>
      </c>
      <c r="H2266" s="144">
        <f>SUM(H2265)</f>
        <v>3899440472</v>
      </c>
    </row>
    <row r="2267" spans="2:8" ht="15">
      <c r="B2267" s="31"/>
      <c r="C2267" s="73"/>
      <c r="G2267" s="140"/>
      <c r="H2267" s="140"/>
    </row>
    <row r="2268" spans="2:8" ht="17.25">
      <c r="B2268" s="31"/>
      <c r="C2268" s="74">
        <v>262000</v>
      </c>
      <c r="D2268" s="75" t="s">
        <v>1749</v>
      </c>
      <c r="G2268" s="155">
        <f>G2262+G2266</f>
        <v>2609260367.31</v>
      </c>
      <c r="H2268" s="155">
        <f>H2262+H2266</f>
        <v>4630256860</v>
      </c>
    </row>
    <row r="2269" spans="2:8" ht="15">
      <c r="B2269" s="31"/>
      <c r="C2269" s="73"/>
      <c r="G2269" s="144"/>
      <c r="H2269" s="140"/>
    </row>
    <row r="2270" spans="2:8" ht="15">
      <c r="B2270" s="31"/>
      <c r="C2270" s="73"/>
      <c r="G2270" s="140"/>
      <c r="H2270" s="140"/>
    </row>
    <row r="2271" spans="2:8" ht="15">
      <c r="B2271" s="132"/>
      <c r="C2271" s="74">
        <v>263200</v>
      </c>
      <c r="D2271" s="75" t="s">
        <v>261</v>
      </c>
      <c r="G2271" s="140"/>
      <c r="H2271" s="140"/>
    </row>
    <row r="2272" spans="1:8" ht="15">
      <c r="A2272" s="127" t="s">
        <v>1791</v>
      </c>
      <c r="B2272" s="31"/>
      <c r="C2272" s="34"/>
      <c r="D2272" s="31" t="s">
        <v>1792</v>
      </c>
      <c r="G2272" s="140">
        <f>H106-G106</f>
        <v>-1776845</v>
      </c>
      <c r="H2272" s="140">
        <v>-1776845</v>
      </c>
    </row>
    <row r="2273" spans="1:8" ht="15">
      <c r="A2273" s="127"/>
      <c r="B2273" s="31"/>
      <c r="C2273" s="34"/>
      <c r="D2273" s="31"/>
      <c r="G2273" s="140"/>
      <c r="H2273" s="140">
        <v>0</v>
      </c>
    </row>
    <row r="2274" spans="1:8" ht="15">
      <c r="A2274" s="127" t="s">
        <v>586</v>
      </c>
      <c r="B2274" s="31"/>
      <c r="C2274" s="34"/>
      <c r="D2274" s="31" t="s">
        <v>769</v>
      </c>
      <c r="G2274" s="140">
        <f>H111</f>
        <v>0</v>
      </c>
      <c r="H2274" s="140">
        <v>0</v>
      </c>
    </row>
    <row r="2275" spans="1:8" ht="15">
      <c r="A2275" s="127" t="s">
        <v>770</v>
      </c>
      <c r="B2275" s="31"/>
      <c r="C2275" s="34"/>
      <c r="D2275" s="31" t="s">
        <v>771</v>
      </c>
      <c r="G2275" s="140">
        <f>H112</f>
        <v>14127178</v>
      </c>
      <c r="H2275" s="140">
        <v>0</v>
      </c>
    </row>
    <row r="2276" spans="1:8" ht="15">
      <c r="A2276" s="127" t="s">
        <v>750</v>
      </c>
      <c r="B2276" s="31"/>
      <c r="C2276" s="34"/>
      <c r="D2276" s="31" t="s">
        <v>751</v>
      </c>
      <c r="G2276" s="140">
        <f>H113</f>
        <v>1663518421</v>
      </c>
      <c r="H2276" s="140">
        <v>2097369804</v>
      </c>
    </row>
    <row r="2277" spans="1:8" ht="15">
      <c r="A2277" s="127" t="s">
        <v>752</v>
      </c>
      <c r="B2277" s="31"/>
      <c r="C2277" s="34"/>
      <c r="D2277" s="31" t="s">
        <v>753</v>
      </c>
      <c r="G2277" s="140">
        <f>H114</f>
        <v>0</v>
      </c>
      <c r="H2277" s="140">
        <v>0</v>
      </c>
    </row>
    <row r="2278" spans="1:8" ht="15">
      <c r="A2278" s="127" t="s">
        <v>754</v>
      </c>
      <c r="B2278" s="31"/>
      <c r="C2278" s="34"/>
      <c r="D2278" s="31" t="s">
        <v>755</v>
      </c>
      <c r="G2278" s="140">
        <f>H115</f>
        <v>0</v>
      </c>
      <c r="H2278" s="140">
        <v>656645778</v>
      </c>
    </row>
    <row r="2279" spans="1:8" ht="15">
      <c r="A2279" s="127" t="s">
        <v>1494</v>
      </c>
      <c r="B2279" s="31"/>
      <c r="C2279" s="31"/>
      <c r="D2279" s="31" t="s">
        <v>1495</v>
      </c>
      <c r="G2279" s="140">
        <f>H125</f>
        <v>0</v>
      </c>
      <c r="H2279" s="140">
        <v>0</v>
      </c>
    </row>
    <row r="2280" spans="1:8" ht="15">
      <c r="A2280" s="127" t="s">
        <v>1147</v>
      </c>
      <c r="B2280" s="31"/>
      <c r="C2280" s="31"/>
      <c r="D2280" s="31" t="s">
        <v>1148</v>
      </c>
      <c r="G2280" s="140">
        <f aca="true" t="shared" si="36" ref="G2280:G2285">H132-G132</f>
        <v>0</v>
      </c>
      <c r="H2280" s="140">
        <v>0</v>
      </c>
    </row>
    <row r="2281" spans="1:8" ht="15">
      <c r="A2281" s="127" t="s">
        <v>464</v>
      </c>
      <c r="B2281" s="31"/>
      <c r="C2281" s="31"/>
      <c r="D2281" s="31" t="s">
        <v>465</v>
      </c>
      <c r="G2281" s="140">
        <f t="shared" si="36"/>
        <v>0</v>
      </c>
      <c r="H2281" s="140">
        <v>0</v>
      </c>
    </row>
    <row r="2282" spans="1:8" ht="15">
      <c r="A2282" s="127" t="s">
        <v>467</v>
      </c>
      <c r="B2282" s="31"/>
      <c r="C2282" s="31"/>
      <c r="D2282" s="31" t="s">
        <v>1971</v>
      </c>
      <c r="G2282" s="140">
        <f t="shared" si="36"/>
        <v>17534871</v>
      </c>
      <c r="H2282" s="144">
        <v>0</v>
      </c>
    </row>
    <row r="2283" spans="1:8" ht="15">
      <c r="A2283" s="127" t="s">
        <v>1972</v>
      </c>
      <c r="B2283" s="31"/>
      <c r="C2283" s="31"/>
      <c r="D2283" s="31" t="s">
        <v>1973</v>
      </c>
      <c r="G2283" s="140">
        <f t="shared" si="36"/>
        <v>530290582</v>
      </c>
      <c r="H2283" s="140">
        <v>118189466</v>
      </c>
    </row>
    <row r="2284" spans="1:8" ht="15">
      <c r="A2284" s="127" t="s">
        <v>1974</v>
      </c>
      <c r="B2284" s="31"/>
      <c r="C2284" s="31"/>
      <c r="D2284" s="31" t="s">
        <v>1975</v>
      </c>
      <c r="G2284" s="140">
        <f t="shared" si="36"/>
        <v>0</v>
      </c>
      <c r="H2284" s="140">
        <v>0</v>
      </c>
    </row>
    <row r="2285" spans="1:8" ht="15">
      <c r="A2285" s="127" t="s">
        <v>1976</v>
      </c>
      <c r="B2285" s="31"/>
      <c r="C2285" s="31"/>
      <c r="D2285" s="31" t="s">
        <v>1977</v>
      </c>
      <c r="G2285" s="140">
        <f t="shared" si="36"/>
        <v>0</v>
      </c>
      <c r="H2285" s="140">
        <v>0</v>
      </c>
    </row>
    <row r="2286" spans="1:8" ht="15">
      <c r="A2286" s="127" t="s">
        <v>1980</v>
      </c>
      <c r="B2286" s="31"/>
      <c r="C2286" s="31"/>
      <c r="D2286" s="31" t="s">
        <v>1981</v>
      </c>
      <c r="G2286" s="140">
        <f>H139-G139</f>
        <v>1907825</v>
      </c>
      <c r="H2286" s="140">
        <v>2670615</v>
      </c>
    </row>
    <row r="2287" spans="1:8" ht="15">
      <c r="A2287" s="127" t="s">
        <v>1984</v>
      </c>
      <c r="B2287" s="31"/>
      <c r="C2287" s="31"/>
      <c r="D2287" s="31" t="s">
        <v>1105</v>
      </c>
      <c r="G2287" s="140">
        <f>H141-G141</f>
        <v>19766935</v>
      </c>
      <c r="H2287" s="140">
        <v>0</v>
      </c>
    </row>
    <row r="2288" spans="4:8" ht="15">
      <c r="D2288" s="139" t="s">
        <v>1106</v>
      </c>
      <c r="G2288" s="140">
        <f>G2145</f>
        <v>667351143.57</v>
      </c>
      <c r="H2288" s="140">
        <v>171445505</v>
      </c>
    </row>
    <row r="2289" spans="4:8" ht="15">
      <c r="D2289" s="139" t="s">
        <v>1107</v>
      </c>
      <c r="G2289" s="140">
        <f>1799112917-G78</f>
        <v>0</v>
      </c>
      <c r="H2289" s="140"/>
    </row>
    <row r="2290" spans="4:8" ht="15">
      <c r="D2290" s="139" t="s">
        <v>1108</v>
      </c>
      <c r="G2290" s="140">
        <v>7199900</v>
      </c>
      <c r="H2290" s="140">
        <v>7199900</v>
      </c>
    </row>
    <row r="2291" spans="4:8" ht="17.25">
      <c r="D2291" s="139" t="s">
        <v>193</v>
      </c>
      <c r="G2291" s="142">
        <v>2740391</v>
      </c>
      <c r="H2291" s="142">
        <v>2740391</v>
      </c>
    </row>
    <row r="2292" spans="2:8" ht="17.25">
      <c r="B2292" s="132"/>
      <c r="C2292" s="74"/>
      <c r="D2292" s="75" t="s">
        <v>943</v>
      </c>
      <c r="G2292" s="155">
        <f>SUM(G2272:G2291)</f>
        <v>2922660401.57</v>
      </c>
      <c r="H2292" s="155">
        <f>SUM(H2272:H2291)</f>
        <v>3054484614</v>
      </c>
    </row>
    <row r="2293" spans="2:8" ht="15">
      <c r="B2293" s="31"/>
      <c r="C2293" s="73"/>
      <c r="G2293" s="144"/>
      <c r="H2293" s="140"/>
    </row>
    <row r="2294" spans="2:8" ht="15">
      <c r="B2294" s="132"/>
      <c r="C2294" s="74">
        <v>263600</v>
      </c>
      <c r="D2294" s="75" t="s">
        <v>428</v>
      </c>
      <c r="G2294" s="140"/>
      <c r="H2294" s="140"/>
    </row>
    <row r="2295" spans="1:8" ht="15">
      <c r="A2295" s="127" t="s">
        <v>756</v>
      </c>
      <c r="B2295" s="132"/>
      <c r="C2295" s="74"/>
      <c r="D2295" s="9" t="s">
        <v>1109</v>
      </c>
      <c r="G2295" s="140">
        <f aca="true" t="shared" si="37" ref="G2295:G2303">H116-G116</f>
        <v>-194426</v>
      </c>
      <c r="H2295" s="140">
        <v>0</v>
      </c>
    </row>
    <row r="2296" spans="1:8" ht="15">
      <c r="A2296" s="127" t="s">
        <v>232</v>
      </c>
      <c r="B2296" s="31"/>
      <c r="C2296" s="34"/>
      <c r="D2296" s="31" t="s">
        <v>233</v>
      </c>
      <c r="G2296" s="140">
        <f t="shared" si="37"/>
        <v>0</v>
      </c>
      <c r="H2296" s="140">
        <v>13458093</v>
      </c>
    </row>
    <row r="2297" spans="1:8" ht="15">
      <c r="A2297" s="127" t="s">
        <v>234</v>
      </c>
      <c r="B2297" s="31"/>
      <c r="C2297" s="31"/>
      <c r="D2297" s="31" t="s">
        <v>1337</v>
      </c>
      <c r="G2297" s="140">
        <f t="shared" si="37"/>
        <v>105975</v>
      </c>
      <c r="H2297" s="140">
        <v>67209155</v>
      </c>
    </row>
    <row r="2298" spans="1:8" ht="15">
      <c r="A2298" s="127" t="s">
        <v>1338</v>
      </c>
      <c r="B2298" s="31"/>
      <c r="C2298" s="31"/>
      <c r="D2298" s="31" t="s">
        <v>1339</v>
      </c>
      <c r="G2298" s="140">
        <f t="shared" si="37"/>
        <v>33695</v>
      </c>
      <c r="H2298" s="144">
        <v>21138344</v>
      </c>
    </row>
    <row r="2299" spans="1:8" ht="15">
      <c r="A2299" s="127" t="s">
        <v>1340</v>
      </c>
      <c r="B2299" s="31"/>
      <c r="C2299" s="34"/>
      <c r="D2299" s="31" t="s">
        <v>1341</v>
      </c>
      <c r="G2299" s="140">
        <f t="shared" si="37"/>
        <v>0</v>
      </c>
      <c r="H2299" s="140">
        <v>0</v>
      </c>
    </row>
    <row r="2300" spans="1:8" ht="15">
      <c r="A2300" s="127" t="s">
        <v>1342</v>
      </c>
      <c r="B2300" s="31"/>
      <c r="C2300" s="31"/>
      <c r="D2300" s="31" t="s">
        <v>1343</v>
      </c>
      <c r="G2300" s="140">
        <f t="shared" si="37"/>
        <v>0</v>
      </c>
      <c r="H2300" s="140">
        <v>0</v>
      </c>
    </row>
    <row r="2301" spans="1:8" ht="15">
      <c r="A2301" s="127" t="s">
        <v>1344</v>
      </c>
      <c r="B2301" s="31"/>
      <c r="C2301" s="31"/>
      <c r="D2301" s="31" t="s">
        <v>1489</v>
      </c>
      <c r="G2301" s="140">
        <f t="shared" si="37"/>
        <v>0</v>
      </c>
      <c r="H2301" s="140">
        <v>0</v>
      </c>
    </row>
    <row r="2302" spans="1:8" ht="15">
      <c r="A2302" s="127" t="s">
        <v>1490</v>
      </c>
      <c r="B2302" s="31"/>
      <c r="C2302" s="31"/>
      <c r="D2302" s="31" t="s">
        <v>1491</v>
      </c>
      <c r="G2302" s="140">
        <f t="shared" si="37"/>
        <v>0</v>
      </c>
      <c r="H2302" s="140">
        <v>-33756</v>
      </c>
    </row>
    <row r="2303" spans="1:8" ht="15">
      <c r="A2303" s="127" t="s">
        <v>1492</v>
      </c>
      <c r="B2303" s="31"/>
      <c r="C2303" s="31"/>
      <c r="D2303" s="31" t="s">
        <v>1493</v>
      </c>
      <c r="G2303" s="140">
        <f t="shared" si="37"/>
        <v>0</v>
      </c>
      <c r="H2303" s="144"/>
    </row>
    <row r="2304" spans="1:8" ht="15">
      <c r="A2304" s="127" t="s">
        <v>1496</v>
      </c>
      <c r="B2304" s="31"/>
      <c r="C2304" s="31"/>
      <c r="D2304" s="31" t="s">
        <v>1497</v>
      </c>
      <c r="G2304" s="140">
        <f>H126</f>
        <v>845478</v>
      </c>
      <c r="H2304" s="144">
        <v>0</v>
      </c>
    </row>
    <row r="2305" spans="1:8" ht="15">
      <c r="A2305" s="127" t="s">
        <v>1498</v>
      </c>
      <c r="B2305" s="31"/>
      <c r="C2305" s="31"/>
      <c r="D2305" s="31" t="s">
        <v>1499</v>
      </c>
      <c r="G2305" s="140">
        <f>H127</f>
        <v>0</v>
      </c>
      <c r="H2305" s="140">
        <v>845479</v>
      </c>
    </row>
    <row r="2306" spans="1:8" ht="15">
      <c r="A2306" s="127" t="s">
        <v>1500</v>
      </c>
      <c r="B2306" s="31"/>
      <c r="C2306" s="31"/>
      <c r="D2306" s="31" t="s">
        <v>1501</v>
      </c>
      <c r="G2306" s="140">
        <f>H128</f>
        <v>0</v>
      </c>
      <c r="H2306" s="140"/>
    </row>
    <row r="2307" spans="1:8" ht="15">
      <c r="A2307" s="127" t="s">
        <v>1502</v>
      </c>
      <c r="B2307" s="31"/>
      <c r="C2307" s="31"/>
      <c r="D2307" s="31" t="s">
        <v>1142</v>
      </c>
      <c r="G2307" s="140">
        <f>H129</f>
        <v>0</v>
      </c>
      <c r="H2307" s="140"/>
    </row>
    <row r="2308" spans="1:8" ht="15">
      <c r="A2308" s="127" t="s">
        <v>1143</v>
      </c>
      <c r="B2308" s="31"/>
      <c r="C2308" s="31"/>
      <c r="D2308" s="31" t="s">
        <v>1144</v>
      </c>
      <c r="G2308" s="140">
        <f>H130</f>
        <v>38944800</v>
      </c>
      <c r="H2308" s="144">
        <v>3009600</v>
      </c>
    </row>
    <row r="2309" spans="1:8" ht="15">
      <c r="A2309" s="127" t="s">
        <v>1986</v>
      </c>
      <c r="B2309" s="31"/>
      <c r="C2309" s="31"/>
      <c r="D2309" s="31"/>
      <c r="G2309" s="140"/>
      <c r="H2309" s="140"/>
    </row>
    <row r="2310" spans="1:8" ht="15">
      <c r="A2310" s="127" t="s">
        <v>1989</v>
      </c>
      <c r="B2310" s="31"/>
      <c r="C2310" s="31"/>
      <c r="D2310" s="31"/>
      <c r="G2310" s="140"/>
      <c r="H2310" s="140"/>
    </row>
    <row r="2311" spans="1:8" ht="17.25">
      <c r="A2311" s="127" t="s">
        <v>1992</v>
      </c>
      <c r="B2311" s="31"/>
      <c r="C2311" s="31"/>
      <c r="D2311" s="139" t="s">
        <v>1993</v>
      </c>
      <c r="G2311" s="142">
        <f>H146-G146</f>
        <v>0</v>
      </c>
      <c r="H2311" s="142">
        <v>0</v>
      </c>
    </row>
    <row r="2312" spans="2:8" ht="17.25">
      <c r="B2312" s="31"/>
      <c r="C2312" s="73"/>
      <c r="D2312" s="75" t="s">
        <v>943</v>
      </c>
      <c r="G2312" s="155">
        <f>SUM(G2295:G2311)</f>
        <v>39735522</v>
      </c>
      <c r="H2312" s="155">
        <f>SUM(H2295:H2311)</f>
        <v>105626915</v>
      </c>
    </row>
    <row r="2481" spans="2:8" ht="15">
      <c r="B2481" s="31"/>
      <c r="C2481" s="73"/>
      <c r="G2481" s="140"/>
      <c r="H2481" s="140"/>
    </row>
  </sheetData>
  <sheetProtection/>
  <printOptions gridLines="1"/>
  <pageMargins left="0.5" right="0.5" top="0.5" bottom="0.75" header="0.5" footer="0.5"/>
  <pageSetup orientation="portrait" scale="65" r:id="rId1"/>
  <headerFooter alignWithMargins="0">
    <oddFooter>&amp;L&amp;F&amp;C&amp;P&amp;R&amp;D&amp;T</oddFooter>
  </headerFooter>
  <rowBreaks count="3" manualBreakCount="3">
    <brk id="635" max="255" man="1"/>
    <brk id="694" max="255" man="1"/>
    <brk id="780" max="255" man="1"/>
  </rowBreaks>
</worksheet>
</file>

<file path=xl/worksheets/sheet10.xml><?xml version="1.0" encoding="utf-8"?>
<worksheet xmlns="http://schemas.openxmlformats.org/spreadsheetml/2006/main" xmlns:r="http://schemas.openxmlformats.org/officeDocument/2006/relationships">
  <dimension ref="B1:H206"/>
  <sheetViews>
    <sheetView zoomScalePageLayoutView="0" workbookViewId="0" topLeftCell="A190">
      <selection activeCell="I205" sqref="I205"/>
    </sheetView>
  </sheetViews>
  <sheetFormatPr defaultColWidth="6.00390625" defaultRowHeight="19.5" customHeight="1"/>
  <cols>
    <col min="1" max="1" width="1.00390625" style="828" customWidth="1"/>
    <col min="2" max="2" width="9.25390625" style="838" customWidth="1"/>
    <col min="3" max="3" width="37.25390625" style="828" customWidth="1"/>
    <col min="4" max="4" width="21.25390625" style="828" customWidth="1"/>
    <col min="5" max="5" width="20.875" style="828" customWidth="1"/>
    <col min="6" max="6" width="6.75390625" style="828" customWidth="1"/>
    <col min="7" max="7" width="20.375" style="809" customWidth="1"/>
    <col min="8" max="16384" width="6.00390625" style="828" customWidth="1"/>
  </cols>
  <sheetData>
    <row r="1" spans="2:5" ht="26.25" customHeight="1">
      <c r="B1" s="1004" t="s">
        <v>960</v>
      </c>
      <c r="C1" s="1004"/>
      <c r="D1" s="1004"/>
      <c r="E1" s="1004"/>
    </row>
    <row r="2" spans="2:8" ht="25.5" customHeight="1">
      <c r="B2" s="1005" t="s">
        <v>2391</v>
      </c>
      <c r="C2" s="1005"/>
      <c r="D2" s="1005"/>
      <c r="E2" s="1005"/>
      <c r="G2" s="1006"/>
      <c r="H2" s="1006"/>
    </row>
    <row r="3" spans="2:7" ht="24" customHeight="1">
      <c r="B3" s="829" t="s">
        <v>2398</v>
      </c>
      <c r="C3" s="830" t="s">
        <v>2086</v>
      </c>
      <c r="D3" s="830" t="s">
        <v>2087</v>
      </c>
      <c r="E3" s="830" t="s">
        <v>2088</v>
      </c>
      <c r="F3" s="831"/>
      <c r="G3" s="810"/>
    </row>
    <row r="4" spans="2:6" ht="21.75" customHeight="1">
      <c r="B4" s="821"/>
      <c r="C4" s="847" t="s">
        <v>1862</v>
      </c>
      <c r="D4" s="823"/>
      <c r="E4" s="811"/>
      <c r="F4" s="832"/>
    </row>
    <row r="5" spans="2:6" ht="21.75" customHeight="1">
      <c r="B5" s="821" t="s">
        <v>2089</v>
      </c>
      <c r="C5" s="822" t="s">
        <v>2090</v>
      </c>
      <c r="D5" s="811"/>
      <c r="E5" s="835">
        <v>15572034.11</v>
      </c>
      <c r="F5" s="832"/>
    </row>
    <row r="6" spans="2:6" ht="21.75" customHeight="1">
      <c r="B6" s="821" t="s">
        <v>2295</v>
      </c>
      <c r="C6" s="822" t="s">
        <v>2296</v>
      </c>
      <c r="D6" s="811"/>
      <c r="E6" s="835">
        <v>89000000</v>
      </c>
      <c r="F6" s="832"/>
    </row>
    <row r="7" spans="2:6" ht="21.75" customHeight="1">
      <c r="B7" s="821" t="s">
        <v>2297</v>
      </c>
      <c r="C7" s="822" t="s">
        <v>2298</v>
      </c>
      <c r="D7" s="811"/>
      <c r="E7" s="835">
        <v>2381725</v>
      </c>
      <c r="F7" s="832"/>
    </row>
    <row r="8" spans="2:6" ht="21.75" customHeight="1">
      <c r="B8" s="821" t="s">
        <v>2091</v>
      </c>
      <c r="C8" s="822" t="s">
        <v>2092</v>
      </c>
      <c r="D8" s="811"/>
      <c r="E8" s="835">
        <v>325068590</v>
      </c>
      <c r="F8" s="832"/>
    </row>
    <row r="9" spans="2:6" ht="21.75" customHeight="1">
      <c r="B9" s="821" t="s">
        <v>2093</v>
      </c>
      <c r="C9" s="822" t="s">
        <v>2094</v>
      </c>
      <c r="D9" s="811"/>
      <c r="E9" s="835">
        <v>142136179.52</v>
      </c>
      <c r="F9" s="832"/>
    </row>
    <row r="10" spans="2:5" ht="21.75" customHeight="1">
      <c r="B10" s="821" t="s">
        <v>2099</v>
      </c>
      <c r="C10" s="822" t="s">
        <v>2100</v>
      </c>
      <c r="D10" s="811"/>
      <c r="E10" s="835">
        <v>50000</v>
      </c>
    </row>
    <row r="11" spans="2:6" ht="21.75" customHeight="1">
      <c r="B11" s="821" t="s">
        <v>2308</v>
      </c>
      <c r="C11" s="822" t="s">
        <v>2309</v>
      </c>
      <c r="D11" s="811"/>
      <c r="E11" s="835">
        <v>3000</v>
      </c>
      <c r="F11" s="832"/>
    </row>
    <row r="12" spans="2:6" ht="21.75" customHeight="1">
      <c r="B12" s="821"/>
      <c r="C12" s="822"/>
      <c r="D12" s="811"/>
      <c r="E12" s="818">
        <f>SUM(E5:E11)</f>
        <v>574211528.63</v>
      </c>
      <c r="F12" s="832"/>
    </row>
    <row r="13" spans="2:5" ht="21.75" customHeight="1">
      <c r="B13" s="821"/>
      <c r="C13" s="799" t="s">
        <v>2282</v>
      </c>
      <c r="D13" s="804"/>
      <c r="E13" s="805"/>
    </row>
    <row r="14" spans="2:6" ht="21.75" customHeight="1">
      <c r="B14" s="821" t="s">
        <v>2095</v>
      </c>
      <c r="C14" s="822" t="s">
        <v>2096</v>
      </c>
      <c r="D14" s="811"/>
      <c r="E14" s="835">
        <v>2130550</v>
      </c>
      <c r="F14" s="832"/>
    </row>
    <row r="15" spans="2:6" ht="21.75" customHeight="1">
      <c r="B15" s="821" t="s">
        <v>2097</v>
      </c>
      <c r="C15" s="822" t="s">
        <v>2098</v>
      </c>
      <c r="D15" s="811"/>
      <c r="E15" s="835">
        <v>7991000</v>
      </c>
      <c r="F15" s="832"/>
    </row>
    <row r="16" spans="2:6" ht="21.75" customHeight="1">
      <c r="B16" s="821" t="s">
        <v>2101</v>
      </c>
      <c r="C16" s="822" t="s">
        <v>2102</v>
      </c>
      <c r="D16" s="811"/>
      <c r="E16" s="835">
        <f>74820730+7892300</f>
        <v>82713030</v>
      </c>
      <c r="F16" s="832"/>
    </row>
    <row r="17" spans="2:6" ht="21.75" customHeight="1">
      <c r="B17" s="821" t="s">
        <v>2299</v>
      </c>
      <c r="C17" s="822" t="s">
        <v>2300</v>
      </c>
      <c r="D17" s="811"/>
      <c r="E17" s="835">
        <v>4982000</v>
      </c>
      <c r="F17" s="832"/>
    </row>
    <row r="18" spans="2:6" ht="21.75" customHeight="1">
      <c r="B18" s="821" t="s">
        <v>2103</v>
      </c>
      <c r="C18" s="822" t="s">
        <v>2104</v>
      </c>
      <c r="D18" s="811"/>
      <c r="E18" s="835">
        <v>26668800</v>
      </c>
      <c r="F18" s="832"/>
    </row>
    <row r="19" spans="2:6" ht="21.75" customHeight="1">
      <c r="B19" s="821" t="s">
        <v>2301</v>
      </c>
      <c r="C19" s="822" t="s">
        <v>2105</v>
      </c>
      <c r="D19" s="811"/>
      <c r="E19" s="835">
        <v>1150000</v>
      </c>
      <c r="F19" s="834"/>
    </row>
    <row r="20" spans="2:5" ht="21.75" customHeight="1">
      <c r="B20" s="821" t="s">
        <v>2106</v>
      </c>
      <c r="C20" s="822" t="s">
        <v>2107</v>
      </c>
      <c r="D20" s="811"/>
      <c r="E20" s="835">
        <v>24173900</v>
      </c>
    </row>
    <row r="21" spans="2:6" ht="21.75" customHeight="1">
      <c r="B21" s="821" t="s">
        <v>2108</v>
      </c>
      <c r="C21" s="822" t="s">
        <v>2109</v>
      </c>
      <c r="D21" s="811"/>
      <c r="E21" s="835">
        <v>62916100</v>
      </c>
      <c r="F21" s="832"/>
    </row>
    <row r="22" spans="2:5" ht="21.75" customHeight="1">
      <c r="B22" s="821" t="s">
        <v>2110</v>
      </c>
      <c r="C22" s="822" t="s">
        <v>2111</v>
      </c>
      <c r="D22" s="811"/>
      <c r="E22" s="835">
        <v>12260000</v>
      </c>
    </row>
    <row r="23" spans="2:6" ht="21.75" customHeight="1">
      <c r="B23" s="821" t="s">
        <v>2304</v>
      </c>
      <c r="C23" s="822" t="s">
        <v>2305</v>
      </c>
      <c r="D23" s="811"/>
      <c r="E23" s="835">
        <v>6540071</v>
      </c>
      <c r="F23" s="832"/>
    </row>
    <row r="24" spans="2:6" ht="21.75" customHeight="1">
      <c r="B24" s="821" t="s">
        <v>2306</v>
      </c>
      <c r="C24" s="822" t="s">
        <v>2307</v>
      </c>
      <c r="D24" s="811"/>
      <c r="E24" s="835">
        <f>192097602.1+2072553.5</f>
        <v>194170155.6</v>
      </c>
      <c r="F24" s="834"/>
    </row>
    <row r="25" spans="2:6" ht="21.75" customHeight="1">
      <c r="B25" s="821" t="s">
        <v>2310</v>
      </c>
      <c r="C25" s="822" t="s">
        <v>2311</v>
      </c>
      <c r="D25" s="811"/>
      <c r="E25" s="835">
        <v>6300000</v>
      </c>
      <c r="F25" s="834"/>
    </row>
    <row r="26" spans="2:6" ht="21.75" customHeight="1">
      <c r="B26" s="821" t="s">
        <v>2312</v>
      </c>
      <c r="C26" s="822" t="s">
        <v>2313</v>
      </c>
      <c r="D26" s="811"/>
      <c r="E26" s="835">
        <v>84000</v>
      </c>
      <c r="F26" s="832"/>
    </row>
    <row r="27" spans="2:5" ht="21.75" customHeight="1">
      <c r="B27" s="821" t="s">
        <v>2112</v>
      </c>
      <c r="C27" s="822" t="s">
        <v>2113</v>
      </c>
      <c r="D27" s="811"/>
      <c r="E27" s="835">
        <v>192270</v>
      </c>
    </row>
    <row r="28" spans="2:6" ht="21.75" customHeight="1">
      <c r="B28" s="821" t="s">
        <v>2114</v>
      </c>
      <c r="C28" s="836" t="s">
        <v>2314</v>
      </c>
      <c r="D28" s="811"/>
      <c r="E28" s="835">
        <v>28793000</v>
      </c>
      <c r="F28" s="832"/>
    </row>
    <row r="29" spans="2:5" ht="21.75" customHeight="1">
      <c r="B29" s="821" t="s">
        <v>2315</v>
      </c>
      <c r="C29" s="822" t="s">
        <v>2316</v>
      </c>
      <c r="D29" s="811"/>
      <c r="E29" s="835">
        <v>120000</v>
      </c>
    </row>
    <row r="30" spans="2:6" ht="21.75" customHeight="1">
      <c r="B30" s="821" t="s">
        <v>2317</v>
      </c>
      <c r="C30" s="822" t="s">
        <v>2318</v>
      </c>
      <c r="D30" s="811"/>
      <c r="E30" s="835">
        <v>997500</v>
      </c>
      <c r="F30" s="832"/>
    </row>
    <row r="31" spans="2:6" ht="21.75" customHeight="1">
      <c r="B31" s="821" t="s">
        <v>2115</v>
      </c>
      <c r="C31" s="822" t="s">
        <v>2116</v>
      </c>
      <c r="D31" s="811"/>
      <c r="E31" s="835">
        <v>17700000</v>
      </c>
      <c r="F31" s="834"/>
    </row>
    <row r="32" spans="2:6" ht="21.75" customHeight="1">
      <c r="B32" s="821" t="s">
        <v>2319</v>
      </c>
      <c r="C32" s="822" t="s">
        <v>2320</v>
      </c>
      <c r="D32" s="811"/>
      <c r="E32" s="835">
        <v>4570000</v>
      </c>
      <c r="F32" s="832"/>
    </row>
    <row r="33" spans="2:6" ht="21.75" customHeight="1">
      <c r="B33" s="821"/>
      <c r="C33" s="822"/>
      <c r="D33" s="811"/>
      <c r="E33" s="818">
        <f>SUM(E14:E32)</f>
        <v>484452376.6</v>
      </c>
      <c r="F33" s="832"/>
    </row>
    <row r="34" spans="2:6" ht="21.75" customHeight="1">
      <c r="B34" s="821"/>
      <c r="C34" s="799" t="s">
        <v>1526</v>
      </c>
      <c r="D34" s="839"/>
      <c r="E34" s="811"/>
      <c r="F34" s="832"/>
    </row>
    <row r="35" spans="2:6" ht="21.75" customHeight="1">
      <c r="B35" s="821" t="s">
        <v>2119</v>
      </c>
      <c r="C35" s="822" t="s">
        <v>2120</v>
      </c>
      <c r="D35" s="811"/>
      <c r="E35" s="818">
        <v>13825000</v>
      </c>
      <c r="F35" s="834"/>
    </row>
    <row r="36" spans="2:7" ht="21.75" customHeight="1">
      <c r="B36" s="821"/>
      <c r="C36" s="846" t="s">
        <v>2283</v>
      </c>
      <c r="D36" s="823"/>
      <c r="E36" s="811"/>
      <c r="G36" s="850"/>
    </row>
    <row r="37" spans="2:6" ht="21.75" customHeight="1">
      <c r="B37" s="821" t="s">
        <v>2302</v>
      </c>
      <c r="C37" s="822" t="s">
        <v>2303</v>
      </c>
      <c r="D37" s="811"/>
      <c r="E37" s="835">
        <f>324382.37+689056536.41-2072553.5</f>
        <v>687308365.28</v>
      </c>
      <c r="F37" s="832"/>
    </row>
    <row r="38" spans="2:5" ht="21.75" customHeight="1">
      <c r="B38" s="821" t="s">
        <v>2321</v>
      </c>
      <c r="C38" s="822" t="s">
        <v>2322</v>
      </c>
      <c r="D38" s="811"/>
      <c r="E38" s="835">
        <v>146065467</v>
      </c>
    </row>
    <row r="39" spans="2:6" ht="21.75" customHeight="1">
      <c r="B39" s="821" t="s">
        <v>2117</v>
      </c>
      <c r="C39" s="822" t="s">
        <v>2118</v>
      </c>
      <c r="D39" s="811"/>
      <c r="E39" s="835">
        <v>39414535</v>
      </c>
      <c r="F39" s="832"/>
    </row>
    <row r="40" spans="2:6" ht="21.75" customHeight="1">
      <c r="B40" s="821"/>
      <c r="C40" s="822"/>
      <c r="D40" s="811"/>
      <c r="E40" s="818">
        <f>SUM(E37:E39)</f>
        <v>872788367.28</v>
      </c>
      <c r="F40" s="832"/>
    </row>
    <row r="41" spans="2:7" ht="24" customHeight="1">
      <c r="B41" s="829"/>
      <c r="C41" s="851" t="s">
        <v>2284</v>
      </c>
      <c r="D41" s="830"/>
      <c r="E41" s="830"/>
      <c r="F41" s="831"/>
      <c r="G41" s="810"/>
    </row>
    <row r="42" spans="2:6" ht="21.75" customHeight="1">
      <c r="B42" s="821" t="s">
        <v>2385</v>
      </c>
      <c r="C42" s="822" t="s">
        <v>2386</v>
      </c>
      <c r="D42" s="811"/>
      <c r="E42" s="811">
        <v>59396400</v>
      </c>
      <c r="F42" s="834"/>
    </row>
    <row r="43" spans="2:6" ht="21.75" customHeight="1">
      <c r="B43" s="821" t="s">
        <v>2121</v>
      </c>
      <c r="C43" s="822" t="s">
        <v>2281</v>
      </c>
      <c r="D43" s="811"/>
      <c r="E43" s="811">
        <v>543620139.47</v>
      </c>
      <c r="F43" s="834"/>
    </row>
    <row r="44" spans="2:6" ht="21.75" customHeight="1">
      <c r="B44" s="821" t="s">
        <v>2121</v>
      </c>
      <c r="C44" s="822" t="s">
        <v>2393</v>
      </c>
      <c r="D44" s="811"/>
      <c r="E44" s="811">
        <v>24678099.81</v>
      </c>
      <c r="F44" s="834"/>
    </row>
    <row r="45" spans="2:6" ht="21.75" customHeight="1">
      <c r="B45" s="821" t="s">
        <v>2394</v>
      </c>
      <c r="C45" s="822" t="s">
        <v>2395</v>
      </c>
      <c r="D45" s="811"/>
      <c r="E45" s="808">
        <v>33564105</v>
      </c>
      <c r="F45" s="834"/>
    </row>
    <row r="46" spans="2:6" ht="21.75" customHeight="1">
      <c r="B46" s="821" t="s">
        <v>2387</v>
      </c>
      <c r="C46" s="822" t="s">
        <v>2388</v>
      </c>
      <c r="D46" s="811"/>
      <c r="E46" s="811">
        <v>70212000</v>
      </c>
      <c r="F46" s="834"/>
    </row>
    <row r="47" spans="2:6" ht="21.75" customHeight="1">
      <c r="B47" s="821" t="s">
        <v>2123</v>
      </c>
      <c r="C47" s="822" t="s">
        <v>2389</v>
      </c>
      <c r="D47" s="811"/>
      <c r="E47" s="811">
        <v>3078190000.36</v>
      </c>
      <c r="F47" s="834"/>
    </row>
    <row r="48" spans="2:6" ht="21.75" customHeight="1">
      <c r="B48" s="821" t="s">
        <v>2124</v>
      </c>
      <c r="C48" s="822" t="s">
        <v>2390</v>
      </c>
      <c r="D48" s="811"/>
      <c r="E48" s="811">
        <v>466585000</v>
      </c>
      <c r="F48" s="834"/>
    </row>
    <row r="49" spans="2:6" ht="21.75" customHeight="1">
      <c r="B49" s="806" t="s">
        <v>2125</v>
      </c>
      <c r="C49" s="807" t="s">
        <v>2126</v>
      </c>
      <c r="D49" s="808"/>
      <c r="E49" s="808">
        <v>1415451656</v>
      </c>
      <c r="F49" s="834"/>
    </row>
    <row r="50" spans="2:6" ht="21.75" customHeight="1">
      <c r="B50" s="806" t="s">
        <v>2125</v>
      </c>
      <c r="C50" s="901" t="s">
        <v>2464</v>
      </c>
      <c r="D50" s="804"/>
      <c r="E50" s="808">
        <v>605484000</v>
      </c>
      <c r="F50" s="834"/>
    </row>
    <row r="51" spans="2:6" ht="21.75" customHeight="1">
      <c r="B51" s="806" t="s">
        <v>2127</v>
      </c>
      <c r="C51" s="807" t="s">
        <v>2128</v>
      </c>
      <c r="D51" s="804"/>
      <c r="E51" s="808">
        <v>24150994241.39</v>
      </c>
      <c r="F51" s="834"/>
    </row>
    <row r="52" spans="2:6" ht="21.75" customHeight="1">
      <c r="B52" s="812"/>
      <c r="C52" s="803"/>
      <c r="D52" s="804"/>
      <c r="E52" s="819">
        <f>SUM(E42:E51)</f>
        <v>30448175642.03</v>
      </c>
      <c r="F52" s="834"/>
    </row>
    <row r="53" spans="2:6" ht="21.75" customHeight="1">
      <c r="B53" s="806"/>
      <c r="C53" s="807" t="s">
        <v>2279</v>
      </c>
      <c r="D53" s="804"/>
      <c r="E53" s="808">
        <v>90195100</v>
      </c>
      <c r="F53" s="834"/>
    </row>
    <row r="54" spans="2:6" ht="21.75" customHeight="1">
      <c r="B54" s="821"/>
      <c r="C54" s="846" t="s">
        <v>2285</v>
      </c>
      <c r="D54" s="823"/>
      <c r="E54" s="811"/>
      <c r="F54" s="832"/>
    </row>
    <row r="55" spans="2:6" ht="21.75" customHeight="1">
      <c r="B55" s="821" t="s">
        <v>2383</v>
      </c>
      <c r="C55" s="822" t="s">
        <v>2384</v>
      </c>
      <c r="D55" s="811"/>
      <c r="E55" s="811">
        <v>139691532</v>
      </c>
      <c r="F55" s="834"/>
    </row>
    <row r="56" spans="2:6" ht="21.75" customHeight="1">
      <c r="B56" s="821" t="s">
        <v>2121</v>
      </c>
      <c r="C56" s="822" t="s">
        <v>2393</v>
      </c>
      <c r="D56" s="811"/>
      <c r="E56" s="811">
        <f>1188123402.43-543620139.47-24678099.81</f>
        <v>619825163.1500001</v>
      </c>
      <c r="F56" s="834"/>
    </row>
    <row r="57" spans="2:6" ht="21.75" customHeight="1">
      <c r="B57" s="821" t="s">
        <v>2122</v>
      </c>
      <c r="C57" s="822" t="s">
        <v>2396</v>
      </c>
      <c r="D57" s="811"/>
      <c r="E57" s="808">
        <f>614911128-33564105</f>
        <v>581347023</v>
      </c>
      <c r="F57" s="834"/>
    </row>
    <row r="58" spans="2:6" ht="21.75" customHeight="1">
      <c r="B58" s="821"/>
      <c r="C58" s="822"/>
      <c r="D58" s="811"/>
      <c r="E58" s="823">
        <f>SUM(E55:E57)</f>
        <v>1340863718.15</v>
      </c>
      <c r="F58" s="834"/>
    </row>
    <row r="59" spans="2:6" ht="21.75" customHeight="1">
      <c r="B59" s="812"/>
      <c r="C59" s="1007" t="s">
        <v>1527</v>
      </c>
      <c r="D59" s="1008"/>
      <c r="E59" s="819"/>
      <c r="F59" s="834"/>
    </row>
    <row r="60" spans="2:6" ht="21.75" customHeight="1">
      <c r="B60" s="806" t="s">
        <v>2129</v>
      </c>
      <c r="C60" s="807" t="s">
        <v>2130</v>
      </c>
      <c r="D60" s="811">
        <v>24144853617.66</v>
      </c>
      <c r="E60" s="804"/>
      <c r="F60" s="832"/>
    </row>
    <row r="61" spans="2:6" ht="21.75" customHeight="1">
      <c r="B61" s="821" t="s">
        <v>2323</v>
      </c>
      <c r="C61" s="822" t="s">
        <v>2324</v>
      </c>
      <c r="D61" s="808">
        <v>1762733.33</v>
      </c>
      <c r="E61" s="811"/>
      <c r="F61" s="832"/>
    </row>
    <row r="62" spans="2:5" ht="21.75" customHeight="1">
      <c r="B62" s="821" t="s">
        <v>2131</v>
      </c>
      <c r="C62" s="822" t="s">
        <v>2325</v>
      </c>
      <c r="D62" s="808">
        <v>76183433.66</v>
      </c>
      <c r="E62" s="811"/>
    </row>
    <row r="63" spans="2:7" ht="21.75" customHeight="1">
      <c r="B63" s="821" t="s">
        <v>2132</v>
      </c>
      <c r="C63" s="822" t="s">
        <v>2326</v>
      </c>
      <c r="D63" s="808">
        <v>99583667</v>
      </c>
      <c r="E63" s="811"/>
      <c r="F63" s="832"/>
      <c r="G63" s="815"/>
    </row>
    <row r="64" spans="2:7" ht="21.75" customHeight="1">
      <c r="B64" s="821" t="s">
        <v>2133</v>
      </c>
      <c r="C64" s="822" t="s">
        <v>2327</v>
      </c>
      <c r="D64" s="808">
        <v>65795000</v>
      </c>
      <c r="E64" s="811"/>
      <c r="G64" s="811"/>
    </row>
    <row r="65" spans="2:7" ht="21.75" customHeight="1">
      <c r="B65" s="821" t="s">
        <v>2134</v>
      </c>
      <c r="C65" s="822" t="s">
        <v>2135</v>
      </c>
      <c r="D65" s="808">
        <v>3000000</v>
      </c>
      <c r="E65" s="811"/>
      <c r="F65" s="832"/>
      <c r="G65" s="811"/>
    </row>
    <row r="66" spans="2:5" ht="21.75" customHeight="1">
      <c r="B66" s="821" t="s">
        <v>2136</v>
      </c>
      <c r="C66" s="822" t="s">
        <v>2137</v>
      </c>
      <c r="D66" s="808">
        <v>40382000</v>
      </c>
      <c r="E66" s="811"/>
    </row>
    <row r="67" spans="2:6" ht="21.75" customHeight="1">
      <c r="B67" s="821" t="s">
        <v>2329</v>
      </c>
      <c r="C67" s="822" t="s">
        <v>1353</v>
      </c>
      <c r="D67" s="808">
        <v>325050000</v>
      </c>
      <c r="E67" s="811"/>
      <c r="F67" s="832"/>
    </row>
    <row r="68" spans="2:6" ht="21.75" customHeight="1">
      <c r="B68" s="821" t="s">
        <v>2140</v>
      </c>
      <c r="C68" s="822" t="s">
        <v>2331</v>
      </c>
      <c r="D68" s="808">
        <v>9499000</v>
      </c>
      <c r="E68" s="811"/>
      <c r="F68" s="832"/>
    </row>
    <row r="69" spans="2:6" ht="21.75" customHeight="1">
      <c r="B69" s="821" t="s">
        <v>2142</v>
      </c>
      <c r="C69" s="822" t="s">
        <v>2143</v>
      </c>
      <c r="D69" s="808">
        <v>1200000</v>
      </c>
      <c r="E69" s="811"/>
      <c r="F69" s="832"/>
    </row>
    <row r="70" spans="2:6" ht="21.75" customHeight="1">
      <c r="B70" s="821" t="s">
        <v>2171</v>
      </c>
      <c r="C70" s="822" t="s">
        <v>2341</v>
      </c>
      <c r="D70" s="808">
        <v>16800000</v>
      </c>
      <c r="E70" s="811"/>
      <c r="F70" s="832"/>
    </row>
    <row r="71" spans="2:5" ht="21.75" customHeight="1">
      <c r="B71" s="840" t="s">
        <v>2181</v>
      </c>
      <c r="C71" s="841" t="s">
        <v>2344</v>
      </c>
      <c r="D71" s="817">
        <v>313505917.6</v>
      </c>
      <c r="E71" s="842"/>
    </row>
    <row r="72" spans="2:5" ht="21.75" customHeight="1">
      <c r="B72" s="840"/>
      <c r="C72" s="841"/>
      <c r="D72" s="820">
        <f>SUM(D60:D71)</f>
        <v>25097615369.25</v>
      </c>
      <c r="E72" s="842"/>
    </row>
    <row r="73" spans="2:5" ht="21.75" customHeight="1">
      <c r="B73" s="840"/>
      <c r="C73" s="852" t="s">
        <v>1528</v>
      </c>
      <c r="D73" s="820"/>
      <c r="E73" s="842"/>
    </row>
    <row r="74" spans="2:6" ht="21.75" customHeight="1">
      <c r="B74" s="821" t="s">
        <v>2240</v>
      </c>
      <c r="C74" s="822" t="s">
        <v>2241</v>
      </c>
      <c r="D74" s="808">
        <v>12188042.88</v>
      </c>
      <c r="E74" s="811"/>
      <c r="F74" s="832"/>
    </row>
    <row r="75" spans="2:6" ht="21.75" customHeight="1">
      <c r="B75" s="821" t="s">
        <v>2375</v>
      </c>
      <c r="C75" s="822" t="s">
        <v>2376</v>
      </c>
      <c r="D75" s="811">
        <v>9120000</v>
      </c>
      <c r="E75" s="811"/>
      <c r="F75" s="832"/>
    </row>
    <row r="76" spans="2:5" ht="21.75" customHeight="1">
      <c r="B76" s="821" t="s">
        <v>2246</v>
      </c>
      <c r="C76" s="822" t="s">
        <v>2377</v>
      </c>
      <c r="D76" s="811">
        <v>6336733.35</v>
      </c>
      <c r="E76" s="811"/>
    </row>
    <row r="77" spans="2:6" ht="21.75" customHeight="1">
      <c r="B77" s="821" t="s">
        <v>2138</v>
      </c>
      <c r="C77" s="822" t="s">
        <v>2328</v>
      </c>
      <c r="D77" s="808">
        <v>1285200</v>
      </c>
      <c r="E77" s="811"/>
      <c r="F77" s="832"/>
    </row>
    <row r="78" spans="2:5" ht="21.75" customHeight="1">
      <c r="B78" s="821" t="s">
        <v>2139</v>
      </c>
      <c r="C78" s="822" t="s">
        <v>2330</v>
      </c>
      <c r="D78" s="808">
        <v>39494348</v>
      </c>
      <c r="E78" s="811"/>
    </row>
    <row r="79" spans="2:5" ht="21.75" customHeight="1">
      <c r="B79" s="821" t="s">
        <v>2141</v>
      </c>
      <c r="C79" s="822" t="s">
        <v>2332</v>
      </c>
      <c r="D79" s="808">
        <v>5788400</v>
      </c>
      <c r="E79" s="811"/>
    </row>
    <row r="80" spans="2:5" ht="21.75" customHeight="1">
      <c r="B80" s="821" t="s">
        <v>2144</v>
      </c>
      <c r="C80" s="822" t="s">
        <v>2333</v>
      </c>
      <c r="D80" s="808">
        <v>83721912</v>
      </c>
      <c r="E80" s="811"/>
    </row>
    <row r="81" spans="2:5" ht="21.75" customHeight="1">
      <c r="B81" s="821" t="s">
        <v>2147</v>
      </c>
      <c r="C81" s="822" t="s">
        <v>2148</v>
      </c>
      <c r="D81" s="808">
        <v>17007814</v>
      </c>
      <c r="E81" s="811"/>
    </row>
    <row r="82" spans="2:6" ht="21.75" customHeight="1">
      <c r="B82" s="821" t="s">
        <v>2149</v>
      </c>
      <c r="C82" s="822" t="s">
        <v>2150</v>
      </c>
      <c r="D82" s="808">
        <v>54069480.48</v>
      </c>
      <c r="E82" s="811"/>
      <c r="F82" s="832"/>
    </row>
    <row r="83" spans="2:5" ht="21.75" customHeight="1">
      <c r="B83" s="821" t="s">
        <v>2151</v>
      </c>
      <c r="C83" s="822" t="s">
        <v>2152</v>
      </c>
      <c r="D83" s="808">
        <v>5732000</v>
      </c>
      <c r="E83" s="811"/>
    </row>
    <row r="84" spans="2:5" ht="21.75" customHeight="1">
      <c r="B84" s="821" t="s">
        <v>2153</v>
      </c>
      <c r="C84" s="822" t="s">
        <v>2154</v>
      </c>
      <c r="D84" s="808">
        <v>15156367.29</v>
      </c>
      <c r="E84" s="811"/>
    </row>
    <row r="85" spans="2:6" ht="21.75" customHeight="1">
      <c r="B85" s="821" t="s">
        <v>2155</v>
      </c>
      <c r="C85" s="822" t="s">
        <v>2156</v>
      </c>
      <c r="D85" s="808">
        <v>4332312.75</v>
      </c>
      <c r="E85" s="811"/>
      <c r="F85" s="832"/>
    </row>
    <row r="86" spans="2:5" ht="21.75" customHeight="1">
      <c r="B86" s="821" t="s">
        <v>2159</v>
      </c>
      <c r="C86" s="822" t="s">
        <v>2336</v>
      </c>
      <c r="D86" s="808">
        <v>145962440.2</v>
      </c>
      <c r="E86" s="811"/>
    </row>
    <row r="87" spans="2:6" ht="21.75" customHeight="1">
      <c r="B87" s="821" t="s">
        <v>2160</v>
      </c>
      <c r="C87" s="822" t="s">
        <v>2161</v>
      </c>
      <c r="D87" s="808">
        <v>1200000</v>
      </c>
      <c r="E87" s="811"/>
      <c r="F87" s="832"/>
    </row>
    <row r="88" spans="2:5" ht="21.75" customHeight="1">
      <c r="B88" s="821" t="s">
        <v>2162</v>
      </c>
      <c r="C88" s="822" t="s">
        <v>2163</v>
      </c>
      <c r="D88" s="808">
        <v>10291757.39</v>
      </c>
      <c r="E88" s="811"/>
    </row>
    <row r="89" spans="2:6" ht="21.75" customHeight="1">
      <c r="B89" s="821" t="s">
        <v>2164</v>
      </c>
      <c r="C89" s="822" t="s">
        <v>1970</v>
      </c>
      <c r="D89" s="808">
        <f>12476634.44+90195100</f>
        <v>102671734.44</v>
      </c>
      <c r="E89" s="811"/>
      <c r="F89" s="832"/>
    </row>
    <row r="90" spans="2:5" ht="21.75" customHeight="1">
      <c r="B90" s="821" t="s">
        <v>2337</v>
      </c>
      <c r="C90" s="822" t="s">
        <v>2338</v>
      </c>
      <c r="D90" s="808">
        <v>6130562.84</v>
      </c>
      <c r="E90" s="811"/>
    </row>
    <row r="91" spans="2:6" ht="21.75" customHeight="1">
      <c r="B91" s="821" t="s">
        <v>2165</v>
      </c>
      <c r="C91" s="822" t="s">
        <v>2166</v>
      </c>
      <c r="D91" s="808">
        <v>8356611</v>
      </c>
      <c r="E91" s="811"/>
      <c r="F91" s="832"/>
    </row>
    <row r="92" spans="2:5" ht="21.75" customHeight="1">
      <c r="B92" s="821" t="s">
        <v>2167</v>
      </c>
      <c r="C92" s="822" t="s">
        <v>2168</v>
      </c>
      <c r="D92" s="808">
        <v>3340784.43</v>
      </c>
      <c r="E92" s="811"/>
    </row>
    <row r="93" spans="2:5" ht="21.75" customHeight="1">
      <c r="B93" s="821" t="s">
        <v>2169</v>
      </c>
      <c r="C93" s="822" t="s">
        <v>2170</v>
      </c>
      <c r="D93" s="808">
        <v>256500</v>
      </c>
      <c r="E93" s="811"/>
    </row>
    <row r="94" spans="2:5" ht="21.75" customHeight="1">
      <c r="B94" s="821" t="s">
        <v>2172</v>
      </c>
      <c r="C94" s="822" t="s">
        <v>2342</v>
      </c>
      <c r="D94" s="808">
        <v>2643000</v>
      </c>
      <c r="E94" s="811"/>
    </row>
    <row r="95" spans="2:6" ht="21.75" customHeight="1">
      <c r="B95" s="821" t="s">
        <v>2173</v>
      </c>
      <c r="C95" s="822" t="s">
        <v>2343</v>
      </c>
      <c r="D95" s="808">
        <v>200000</v>
      </c>
      <c r="E95" s="811"/>
      <c r="F95" s="832"/>
    </row>
    <row r="96" spans="2:5" ht="21.75" customHeight="1">
      <c r="B96" s="821" t="s">
        <v>2174</v>
      </c>
      <c r="C96" s="822" t="s">
        <v>2175</v>
      </c>
      <c r="D96" s="808">
        <v>8287000</v>
      </c>
      <c r="E96" s="811"/>
    </row>
    <row r="97" spans="2:6" ht="21.75" customHeight="1">
      <c r="B97" s="821" t="s">
        <v>2176</v>
      </c>
      <c r="C97" s="822" t="s">
        <v>2177</v>
      </c>
      <c r="D97" s="808">
        <v>568000</v>
      </c>
      <c r="E97" s="811"/>
      <c r="F97" s="811"/>
    </row>
    <row r="98" spans="2:5" ht="21.75" customHeight="1">
      <c r="B98" s="821" t="s">
        <v>2178</v>
      </c>
      <c r="C98" s="822" t="s">
        <v>2179</v>
      </c>
      <c r="D98" s="808">
        <v>50000</v>
      </c>
      <c r="E98" s="811"/>
    </row>
    <row r="99" spans="2:6" ht="21.75" customHeight="1">
      <c r="B99" s="821" t="s">
        <v>2180</v>
      </c>
      <c r="C99" s="822" t="s">
        <v>2183</v>
      </c>
      <c r="D99" s="808">
        <v>14155440</v>
      </c>
      <c r="E99" s="811"/>
      <c r="F99" s="832"/>
    </row>
    <row r="100" spans="2:6" ht="21.75" customHeight="1">
      <c r="B100" s="821" t="s">
        <v>2182</v>
      </c>
      <c r="C100" s="822" t="s">
        <v>2183</v>
      </c>
      <c r="D100" s="808">
        <v>317000</v>
      </c>
      <c r="E100" s="811"/>
      <c r="F100" s="832"/>
    </row>
    <row r="101" spans="2:5" ht="21.75" customHeight="1">
      <c r="B101" s="821" t="s">
        <v>2184</v>
      </c>
      <c r="C101" s="822" t="s">
        <v>2185</v>
      </c>
      <c r="D101" s="808">
        <v>2773000</v>
      </c>
      <c r="E101" s="811"/>
    </row>
    <row r="102" spans="2:6" ht="21.75" customHeight="1">
      <c r="B102" s="821" t="s">
        <v>2186</v>
      </c>
      <c r="C102" s="822" t="s">
        <v>2187</v>
      </c>
      <c r="D102" s="808">
        <v>377000</v>
      </c>
      <c r="E102" s="811"/>
      <c r="F102" s="832"/>
    </row>
    <row r="103" spans="2:5" ht="21.75" customHeight="1">
      <c r="B103" s="821" t="s">
        <v>2188</v>
      </c>
      <c r="C103" s="822" t="s">
        <v>2189</v>
      </c>
      <c r="D103" s="808">
        <v>4659500</v>
      </c>
      <c r="E103" s="811"/>
    </row>
    <row r="104" spans="2:6" ht="21.75" customHeight="1">
      <c r="B104" s="821" t="s">
        <v>2190</v>
      </c>
      <c r="C104" s="822" t="s">
        <v>2345</v>
      </c>
      <c r="D104" s="808">
        <v>1300000</v>
      </c>
      <c r="E104" s="811"/>
      <c r="F104" s="832"/>
    </row>
    <row r="105" spans="2:7" ht="21.75" customHeight="1">
      <c r="B105" s="821" t="s">
        <v>2191</v>
      </c>
      <c r="C105" s="822" t="s">
        <v>2346</v>
      </c>
      <c r="D105" s="808">
        <v>1300000</v>
      </c>
      <c r="E105" s="811"/>
      <c r="G105" s="834"/>
    </row>
    <row r="106" spans="2:6" ht="21.75" customHeight="1">
      <c r="B106" s="821" t="s">
        <v>2192</v>
      </c>
      <c r="C106" s="822" t="s">
        <v>2347</v>
      </c>
      <c r="D106" s="808">
        <v>27583000</v>
      </c>
      <c r="E106" s="811"/>
      <c r="F106" s="832"/>
    </row>
    <row r="107" spans="2:5" ht="21.75" customHeight="1">
      <c r="B107" s="821" t="s">
        <v>2348</v>
      </c>
      <c r="C107" s="822" t="s">
        <v>2349</v>
      </c>
      <c r="D107" s="808">
        <v>100000</v>
      </c>
      <c r="E107" s="811"/>
    </row>
    <row r="108" spans="2:6" ht="21.75" customHeight="1">
      <c r="B108" s="821" t="s">
        <v>2193</v>
      </c>
      <c r="C108" s="822" t="s">
        <v>2194</v>
      </c>
      <c r="D108" s="808">
        <v>428200618</v>
      </c>
      <c r="E108" s="811"/>
      <c r="F108" s="832"/>
    </row>
    <row r="109" spans="2:6" ht="21.75" customHeight="1">
      <c r="B109" s="821" t="s">
        <v>2195</v>
      </c>
      <c r="C109" s="822" t="s">
        <v>2196</v>
      </c>
      <c r="D109" s="808">
        <f>72198791.8+605484000</f>
        <v>677682791.8</v>
      </c>
      <c r="E109" s="811"/>
      <c r="F109" s="834"/>
    </row>
    <row r="110" spans="2:6" ht="21.75" customHeight="1">
      <c r="B110" s="821" t="s">
        <v>2197</v>
      </c>
      <c r="C110" s="822" t="s">
        <v>2198</v>
      </c>
      <c r="D110" s="808">
        <v>222817000</v>
      </c>
      <c r="E110" s="811"/>
      <c r="F110" s="832"/>
    </row>
    <row r="111" spans="2:5" ht="21.75" customHeight="1">
      <c r="B111" s="821" t="s">
        <v>2199</v>
      </c>
      <c r="C111" s="822" t="s">
        <v>2200</v>
      </c>
      <c r="D111" s="808">
        <v>4610000</v>
      </c>
      <c r="E111" s="811"/>
    </row>
    <row r="112" spans="2:6" ht="21.75" customHeight="1">
      <c r="B112" s="821" t="s">
        <v>2201</v>
      </c>
      <c r="C112" s="822" t="s">
        <v>2350</v>
      </c>
      <c r="D112" s="808">
        <v>18684500</v>
      </c>
      <c r="E112" s="811"/>
      <c r="F112" s="832"/>
    </row>
    <row r="113" spans="2:5" ht="21.75" customHeight="1">
      <c r="B113" s="821" t="s">
        <v>2202</v>
      </c>
      <c r="C113" s="822" t="s">
        <v>2351</v>
      </c>
      <c r="D113" s="808">
        <v>3040000</v>
      </c>
      <c r="E113" s="811"/>
    </row>
    <row r="114" spans="2:6" ht="21.75" customHeight="1">
      <c r="B114" s="821" t="s">
        <v>2203</v>
      </c>
      <c r="C114" s="822" t="s">
        <v>2352</v>
      </c>
      <c r="D114" s="808">
        <v>200000</v>
      </c>
      <c r="E114" s="811"/>
      <c r="F114" s="832"/>
    </row>
    <row r="115" spans="2:5" ht="21.75" customHeight="1">
      <c r="B115" s="821" t="s">
        <v>2204</v>
      </c>
      <c r="C115" s="822" t="s">
        <v>2205</v>
      </c>
      <c r="D115" s="808">
        <v>5100000</v>
      </c>
      <c r="E115" s="811"/>
    </row>
    <row r="116" spans="2:6" ht="21.75" customHeight="1">
      <c r="B116" s="821" t="s">
        <v>2206</v>
      </c>
      <c r="C116" s="822" t="s">
        <v>2353</v>
      </c>
      <c r="D116" s="808">
        <v>100000</v>
      </c>
      <c r="E116" s="811"/>
      <c r="F116" s="832"/>
    </row>
    <row r="117" spans="2:6" ht="21.75" customHeight="1">
      <c r="B117" s="821" t="s">
        <v>2412</v>
      </c>
      <c r="C117" s="822" t="s">
        <v>2411</v>
      </c>
      <c r="D117" s="808">
        <f>606636000-27856601.35</f>
        <v>578779398.65</v>
      </c>
      <c r="E117" s="811"/>
      <c r="F117" s="832"/>
    </row>
    <row r="118" spans="2:6" ht="21.75" customHeight="1">
      <c r="B118" s="821" t="s">
        <v>2207</v>
      </c>
      <c r="C118" s="822" t="s">
        <v>2208</v>
      </c>
      <c r="D118" s="808">
        <v>8162900</v>
      </c>
      <c r="E118" s="811"/>
      <c r="F118" s="832"/>
    </row>
    <row r="119" spans="2:6" ht="21.75" customHeight="1">
      <c r="B119" s="821" t="s">
        <v>2216</v>
      </c>
      <c r="C119" s="822" t="s">
        <v>2217</v>
      </c>
      <c r="D119" s="808">
        <v>131571000</v>
      </c>
      <c r="E119" s="811"/>
      <c r="F119" s="832"/>
    </row>
    <row r="120" spans="2:5" ht="21.75" customHeight="1">
      <c r="B120" s="821" t="s">
        <v>2218</v>
      </c>
      <c r="C120" s="822" t="s">
        <v>2219</v>
      </c>
      <c r="D120" s="808">
        <f>3106048601.62</f>
        <v>3106048601.62</v>
      </c>
      <c r="E120" s="811"/>
    </row>
    <row r="121" spans="2:6" ht="21.75" customHeight="1">
      <c r="B121" s="821" t="s">
        <v>2362</v>
      </c>
      <c r="C121" s="822" t="s">
        <v>2363</v>
      </c>
      <c r="D121" s="808">
        <v>500000</v>
      </c>
      <c r="E121" s="811"/>
      <c r="F121" s="832"/>
    </row>
    <row r="122" spans="2:6" ht="21.75" customHeight="1">
      <c r="B122" s="821" t="s">
        <v>2223</v>
      </c>
      <c r="C122" s="822" t="s">
        <v>2224</v>
      </c>
      <c r="D122" s="808">
        <v>163316418.64</v>
      </c>
      <c r="E122" s="811"/>
      <c r="F122" s="832"/>
    </row>
    <row r="123" spans="2:5" ht="21.75" customHeight="1">
      <c r="B123" s="821" t="s">
        <v>2225</v>
      </c>
      <c r="C123" s="822" t="s">
        <v>2226</v>
      </c>
      <c r="D123" s="808">
        <v>16000000</v>
      </c>
      <c r="E123" s="811"/>
    </row>
    <row r="124" spans="2:6" ht="21.75" customHeight="1">
      <c r="B124" s="821" t="s">
        <v>2365</v>
      </c>
      <c r="C124" s="822" t="s">
        <v>2366</v>
      </c>
      <c r="D124" s="808">
        <v>1851000</v>
      </c>
      <c r="E124" s="811"/>
      <c r="F124" s="832"/>
    </row>
    <row r="125" spans="2:5" ht="21.75" customHeight="1">
      <c r="B125" s="821" t="s">
        <v>2227</v>
      </c>
      <c r="C125" s="822" t="s">
        <v>2228</v>
      </c>
      <c r="D125" s="808">
        <v>2233000</v>
      </c>
      <c r="E125" s="811"/>
    </row>
    <row r="126" spans="2:6" ht="21.75" customHeight="1">
      <c r="B126" s="821" t="s">
        <v>2229</v>
      </c>
      <c r="C126" s="822" t="s">
        <v>2230</v>
      </c>
      <c r="D126" s="808">
        <v>33362629</v>
      </c>
      <c r="E126" s="811"/>
      <c r="F126" s="832"/>
    </row>
    <row r="127" spans="2:7" ht="21.75" customHeight="1">
      <c r="B127" s="821"/>
      <c r="C127" s="822"/>
      <c r="D127" s="819">
        <f>SUM(D74:D126)</f>
        <v>5999015798.76</v>
      </c>
      <c r="E127" s="811"/>
      <c r="F127" s="832"/>
      <c r="G127" s="850"/>
    </row>
    <row r="128" spans="2:6" ht="21.75" customHeight="1">
      <c r="B128" s="821"/>
      <c r="C128" s="847" t="s">
        <v>121</v>
      </c>
      <c r="D128" s="801"/>
      <c r="E128" s="811"/>
      <c r="F128" s="832"/>
    </row>
    <row r="129" spans="2:6" ht="21.75" customHeight="1">
      <c r="B129" s="821" t="s">
        <v>2145</v>
      </c>
      <c r="C129" s="822" t="s">
        <v>2146</v>
      </c>
      <c r="D129" s="808">
        <v>142800</v>
      </c>
      <c r="E129" s="811"/>
      <c r="F129" s="832"/>
    </row>
    <row r="130" spans="2:5" ht="21.75" customHeight="1">
      <c r="B130" s="821" t="s">
        <v>2157</v>
      </c>
      <c r="C130" s="822" t="s">
        <v>2334</v>
      </c>
      <c r="D130" s="808">
        <v>990501.55</v>
      </c>
      <c r="E130" s="811"/>
    </row>
    <row r="131" spans="2:6" ht="21.75" customHeight="1">
      <c r="B131" s="821" t="s">
        <v>2158</v>
      </c>
      <c r="C131" s="822" t="s">
        <v>2335</v>
      </c>
      <c r="D131" s="808">
        <v>78130149.5</v>
      </c>
      <c r="E131" s="811"/>
      <c r="F131" s="832"/>
    </row>
    <row r="132" spans="2:6" ht="21.75" customHeight="1">
      <c r="B132" s="821" t="s">
        <v>2339</v>
      </c>
      <c r="C132" s="822" t="s">
        <v>2340</v>
      </c>
      <c r="D132" s="808">
        <v>4800000</v>
      </c>
      <c r="E132" s="811"/>
      <c r="F132" s="832"/>
    </row>
    <row r="133" spans="2:5" ht="21.75" customHeight="1">
      <c r="B133" s="821" t="s">
        <v>2209</v>
      </c>
      <c r="C133" s="822" t="s">
        <v>2354</v>
      </c>
      <c r="D133" s="808">
        <v>436393880.99</v>
      </c>
      <c r="E133" s="811"/>
    </row>
    <row r="134" spans="2:6" ht="21.75" customHeight="1">
      <c r="B134" s="821" t="s">
        <v>2210</v>
      </c>
      <c r="C134" s="822" t="s">
        <v>2355</v>
      </c>
      <c r="D134" s="808">
        <f>2901863.26-17093</f>
        <v>2884770.26</v>
      </c>
      <c r="E134" s="811"/>
      <c r="F134" s="832"/>
    </row>
    <row r="135" spans="2:5" ht="21.75" customHeight="1">
      <c r="B135" s="821" t="s">
        <v>2356</v>
      </c>
      <c r="C135" s="822" t="s">
        <v>2357</v>
      </c>
      <c r="D135" s="808">
        <v>573300</v>
      </c>
      <c r="E135" s="811"/>
    </row>
    <row r="136" spans="2:6" ht="21.75" customHeight="1">
      <c r="B136" s="821" t="s">
        <v>2358</v>
      </c>
      <c r="C136" s="822" t="s">
        <v>2359</v>
      </c>
      <c r="D136" s="808">
        <v>585223</v>
      </c>
      <c r="E136" s="811"/>
      <c r="F136" s="832"/>
    </row>
    <row r="137" spans="2:5" ht="21.75" customHeight="1">
      <c r="B137" s="821" t="s">
        <v>2211</v>
      </c>
      <c r="C137" s="822" t="s">
        <v>2354</v>
      </c>
      <c r="D137" s="808">
        <v>78343591.92</v>
      </c>
      <c r="E137" s="811"/>
    </row>
    <row r="138" spans="2:6" ht="21.75" customHeight="1">
      <c r="B138" s="821" t="s">
        <v>2212</v>
      </c>
      <c r="C138" s="822" t="s">
        <v>2354</v>
      </c>
      <c r="D138" s="808">
        <v>10634855.08</v>
      </c>
      <c r="E138" s="811"/>
      <c r="F138" s="832"/>
    </row>
    <row r="139" spans="2:5" ht="21.75" customHeight="1">
      <c r="B139" s="821" t="s">
        <v>2213</v>
      </c>
      <c r="C139" s="822" t="s">
        <v>2214</v>
      </c>
      <c r="D139" s="808">
        <v>2360000</v>
      </c>
      <c r="E139" s="811"/>
    </row>
    <row r="140" spans="2:6" ht="21.75" customHeight="1">
      <c r="B140" s="821" t="s">
        <v>2360</v>
      </c>
      <c r="C140" s="822" t="s">
        <v>2361</v>
      </c>
      <c r="D140" s="808">
        <v>1500000</v>
      </c>
      <c r="E140" s="811"/>
      <c r="F140" s="832"/>
    </row>
    <row r="141" spans="2:5" ht="21.75" customHeight="1">
      <c r="B141" s="821" t="s">
        <v>2215</v>
      </c>
      <c r="C141" s="822" t="s">
        <v>2354</v>
      </c>
      <c r="D141" s="808">
        <v>800000</v>
      </c>
      <c r="E141" s="811"/>
    </row>
    <row r="142" spans="2:6" ht="21.75" customHeight="1">
      <c r="B142" s="821" t="s">
        <v>2220</v>
      </c>
      <c r="C142" s="822" t="s">
        <v>2364</v>
      </c>
      <c r="D142" s="808">
        <v>53322000</v>
      </c>
      <c r="E142" s="811"/>
      <c r="F142" s="832"/>
    </row>
    <row r="143" spans="2:5" ht="21.75" customHeight="1">
      <c r="B143" s="821" t="s">
        <v>2221</v>
      </c>
      <c r="C143" s="822" t="s">
        <v>2222</v>
      </c>
      <c r="D143" s="808">
        <v>61869700</v>
      </c>
      <c r="E143" s="811"/>
    </row>
    <row r="144" spans="2:6" ht="21.75" customHeight="1">
      <c r="B144" s="821" t="s">
        <v>2238</v>
      </c>
      <c r="C144" s="822" t="s">
        <v>2239</v>
      </c>
      <c r="D144" s="808">
        <v>177530.2</v>
      </c>
      <c r="E144" s="811"/>
      <c r="F144" s="832"/>
    </row>
    <row r="145" spans="2:6" ht="21.75" customHeight="1">
      <c r="B145" s="821">
        <v>230702</v>
      </c>
      <c r="C145" s="822" t="s">
        <v>2354</v>
      </c>
      <c r="D145" s="808">
        <v>445744830.76</v>
      </c>
      <c r="E145" s="811"/>
      <c r="F145" s="832"/>
    </row>
    <row r="146" spans="2:5" ht="21.75" customHeight="1">
      <c r="B146" s="821" t="s">
        <v>2242</v>
      </c>
      <c r="C146" s="822" t="s">
        <v>2243</v>
      </c>
      <c r="D146" s="808">
        <v>5930000</v>
      </c>
      <c r="E146" s="811"/>
    </row>
    <row r="147" spans="2:6" ht="21.75" customHeight="1">
      <c r="B147" s="821" t="s">
        <v>2244</v>
      </c>
      <c r="C147" s="822" t="s">
        <v>2245</v>
      </c>
      <c r="D147" s="808">
        <v>491000</v>
      </c>
      <c r="E147" s="811"/>
      <c r="F147" s="832"/>
    </row>
    <row r="148" spans="2:6" ht="21.75" customHeight="1">
      <c r="B148" s="821" t="s">
        <v>2397</v>
      </c>
      <c r="C148" s="822" t="s">
        <v>2369</v>
      </c>
      <c r="D148" s="808">
        <f>174934338.38+72957947.5</f>
        <v>247892285.88</v>
      </c>
      <c r="E148" s="811"/>
      <c r="F148" s="834"/>
    </row>
    <row r="149" spans="2:6" ht="21.75" customHeight="1">
      <c r="B149" s="821" t="s">
        <v>2370</v>
      </c>
      <c r="C149" s="822" t="s">
        <v>2371</v>
      </c>
      <c r="D149" s="811">
        <v>5305076</v>
      </c>
      <c r="E149" s="811"/>
      <c r="F149" s="832"/>
    </row>
    <row r="150" spans="2:5" ht="21.75" customHeight="1">
      <c r="B150" s="821" t="s">
        <v>2372</v>
      </c>
      <c r="C150" s="822" t="s">
        <v>2373</v>
      </c>
      <c r="D150" s="811">
        <v>11636200</v>
      </c>
      <c r="E150" s="811"/>
    </row>
    <row r="151" spans="2:5" ht="21.75" customHeight="1">
      <c r="B151" s="821" t="s">
        <v>2375</v>
      </c>
      <c r="C151" s="822" t="s">
        <v>2374</v>
      </c>
      <c r="D151" s="811">
        <f>7727500</f>
        <v>7727500</v>
      </c>
      <c r="E151" s="811"/>
    </row>
    <row r="152" spans="2:7" ht="21.75" customHeight="1">
      <c r="B152" s="821"/>
      <c r="C152" s="822"/>
      <c r="D152" s="823">
        <f>SUM(D129:D151)</f>
        <v>1458235195.1400003</v>
      </c>
      <c r="E152" s="811"/>
      <c r="G152" s="827"/>
    </row>
    <row r="153" ht="19.5" customHeight="1">
      <c r="C153" s="799" t="s">
        <v>2274</v>
      </c>
    </row>
    <row r="154" spans="2:6" ht="21.75" customHeight="1">
      <c r="B154" s="821" t="s">
        <v>2247</v>
      </c>
      <c r="C154" s="822" t="s">
        <v>2378</v>
      </c>
      <c r="D154" s="811">
        <f>166967900+135720000</f>
        <v>302687900</v>
      </c>
      <c r="E154" s="811"/>
      <c r="F154" s="832"/>
    </row>
    <row r="155" spans="2:6" ht="21.75" customHeight="1">
      <c r="B155" s="796">
        <v>610107</v>
      </c>
      <c r="C155" s="797" t="s">
        <v>2266</v>
      </c>
      <c r="D155" s="811">
        <f>18988684</f>
        <v>18988684</v>
      </c>
      <c r="E155" s="811"/>
      <c r="F155" s="832"/>
    </row>
    <row r="156" spans="2:6" ht="21.75" customHeight="1">
      <c r="B156" s="796">
        <v>610106</v>
      </c>
      <c r="C156" s="822" t="s">
        <v>2409</v>
      </c>
      <c r="D156" s="853">
        <v>46357300</v>
      </c>
      <c r="E156" s="811"/>
      <c r="F156" s="832"/>
    </row>
    <row r="157" spans="2:6" ht="21.75" customHeight="1">
      <c r="B157" s="821"/>
      <c r="C157" s="822" t="s">
        <v>2286</v>
      </c>
      <c r="D157" s="811">
        <v>42022255.84</v>
      </c>
      <c r="E157" s="811"/>
      <c r="F157" s="832"/>
    </row>
    <row r="158" spans="2:6" ht="21.75" customHeight="1">
      <c r="B158" s="821"/>
      <c r="C158" s="790" t="s">
        <v>2262</v>
      </c>
      <c r="D158" s="789">
        <f>135837340</f>
        <v>135837340</v>
      </c>
      <c r="E158" s="811"/>
      <c r="F158" s="832"/>
    </row>
    <row r="159" spans="2:6" ht="21.75" customHeight="1">
      <c r="B159" s="821"/>
      <c r="C159" s="822"/>
      <c r="D159" s="839">
        <f>SUM(D154:D158)</f>
        <v>545893479.84</v>
      </c>
      <c r="E159" s="811"/>
      <c r="F159" s="832"/>
    </row>
    <row r="160" spans="2:6" ht="21.75" customHeight="1">
      <c r="B160" s="821"/>
      <c r="C160" s="846" t="s">
        <v>814</v>
      </c>
      <c r="D160" s="811"/>
      <c r="E160" s="823"/>
      <c r="F160" s="834"/>
    </row>
    <row r="161" spans="2:6" ht="21.75" customHeight="1">
      <c r="B161" s="821" t="s">
        <v>2231</v>
      </c>
      <c r="C161" s="822" t="s">
        <v>2232</v>
      </c>
      <c r="D161" s="808"/>
      <c r="E161" s="811">
        <f>130055122.91</f>
        <v>130055122.91</v>
      </c>
      <c r="F161" s="834"/>
    </row>
    <row r="162" spans="2:6" ht="21.75" customHeight="1">
      <c r="B162" s="821"/>
      <c r="C162" s="822" t="s">
        <v>2426</v>
      </c>
      <c r="D162" s="808"/>
      <c r="E162" s="811">
        <v>93082848.05</v>
      </c>
      <c r="F162" s="834"/>
    </row>
    <row r="163" spans="2:6" ht="21.75" customHeight="1">
      <c r="B163" s="821" t="s">
        <v>2233</v>
      </c>
      <c r="C163" s="822" t="s">
        <v>755</v>
      </c>
      <c r="D163" s="808"/>
      <c r="E163" s="811">
        <f>171947564.49-102658743+40000000</f>
        <v>109288821.49000001</v>
      </c>
      <c r="F163" s="834"/>
    </row>
    <row r="164" spans="2:6" ht="21.75" customHeight="1">
      <c r="B164" s="821" t="s">
        <v>2234</v>
      </c>
      <c r="C164" s="822" t="s">
        <v>2235</v>
      </c>
      <c r="D164" s="808"/>
      <c r="E164" s="811">
        <v>1254600</v>
      </c>
      <c r="F164" s="834"/>
    </row>
    <row r="165" spans="2:6" ht="21.75" customHeight="1">
      <c r="B165" s="821" t="s">
        <v>2236</v>
      </c>
      <c r="C165" s="822" t="s">
        <v>2237</v>
      </c>
      <c r="D165" s="808"/>
      <c r="E165" s="811">
        <f>26151701.56+102658743-40000000</f>
        <v>88810444.56</v>
      </c>
      <c r="F165" s="834"/>
    </row>
    <row r="166" spans="2:6" ht="21.75" customHeight="1">
      <c r="B166" s="821" t="s">
        <v>2367</v>
      </c>
      <c r="C166" s="822" t="s">
        <v>2368</v>
      </c>
      <c r="D166" s="808"/>
      <c r="E166" s="811">
        <v>540000</v>
      </c>
      <c r="F166" s="834"/>
    </row>
    <row r="167" spans="2:6" ht="21.75" customHeight="1">
      <c r="B167" s="821"/>
      <c r="C167" s="822"/>
      <c r="D167" s="808"/>
      <c r="E167" s="823">
        <f>SUM(E161:E166)</f>
        <v>423031837.01</v>
      </c>
      <c r="F167" s="834"/>
    </row>
    <row r="168" spans="2:7" ht="21.75" customHeight="1">
      <c r="B168" s="821"/>
      <c r="C168" s="822" t="s">
        <v>2262</v>
      </c>
      <c r="D168" s="808"/>
      <c r="E168" s="823">
        <f>484206847.7+103376303.82</f>
        <v>587583151.52</v>
      </c>
      <c r="F168" s="834"/>
      <c r="G168" s="827"/>
    </row>
    <row r="169" spans="2:7" ht="21.75" customHeight="1">
      <c r="B169" s="821"/>
      <c r="C169" s="822"/>
      <c r="D169" s="808"/>
      <c r="E169" s="823"/>
      <c r="F169" s="832"/>
      <c r="G169" s="850"/>
    </row>
    <row r="170" spans="2:7" ht="24" customHeight="1">
      <c r="B170" s="829"/>
      <c r="C170" s="799" t="s">
        <v>2273</v>
      </c>
      <c r="D170" s="830"/>
      <c r="E170" s="830"/>
      <c r="F170" s="831"/>
      <c r="G170" s="810"/>
    </row>
    <row r="171" spans="2:7" ht="21.75" customHeight="1">
      <c r="B171" s="821" t="s">
        <v>2248</v>
      </c>
      <c r="C171" s="822" t="s">
        <v>2249</v>
      </c>
      <c r="D171" s="811">
        <v>5354666.04</v>
      </c>
      <c r="E171" s="811"/>
      <c r="G171" s="810"/>
    </row>
    <row r="172" spans="2:6" ht="21.75" customHeight="1">
      <c r="B172" s="821" t="s">
        <v>2250</v>
      </c>
      <c r="C172" s="822" t="s">
        <v>2251</v>
      </c>
      <c r="D172" s="811">
        <v>12439291.45</v>
      </c>
      <c r="E172" s="811"/>
      <c r="F172" s="832"/>
    </row>
    <row r="173" spans="2:5" ht="21.75" customHeight="1">
      <c r="B173" s="821" t="s">
        <v>2252</v>
      </c>
      <c r="C173" s="822" t="s">
        <v>2253</v>
      </c>
      <c r="D173" s="811">
        <v>1594304.92</v>
      </c>
      <c r="E173" s="811"/>
    </row>
    <row r="174" spans="2:6" ht="21.75" customHeight="1">
      <c r="B174" s="821" t="s">
        <v>2254</v>
      </c>
      <c r="C174" s="822" t="s">
        <v>2255</v>
      </c>
      <c r="D174" s="811">
        <f>541298441.33-475371675.68</f>
        <v>65926765.650000036</v>
      </c>
      <c r="E174" s="811"/>
      <c r="F174" s="832"/>
    </row>
    <row r="175" spans="2:6" ht="21.75" customHeight="1">
      <c r="B175" s="821" t="s">
        <v>2256</v>
      </c>
      <c r="C175" s="822" t="s">
        <v>2257</v>
      </c>
      <c r="D175" s="811">
        <v>12495085.54</v>
      </c>
      <c r="E175" s="811"/>
      <c r="F175" s="832"/>
    </row>
    <row r="176" spans="2:6" ht="21.75" customHeight="1">
      <c r="B176" s="821" t="s">
        <v>2258</v>
      </c>
      <c r="C176" s="822" t="s">
        <v>2259</v>
      </c>
      <c r="D176" s="811">
        <v>199893866.05</v>
      </c>
      <c r="E176" s="811"/>
      <c r="F176" s="832"/>
    </row>
    <row r="177" spans="2:6" ht="21.75" customHeight="1">
      <c r="B177" s="821" t="s">
        <v>2260</v>
      </c>
      <c r="C177" s="822" t="s">
        <v>2261</v>
      </c>
      <c r="D177" s="811">
        <f>226203915.26+108678.17</f>
        <v>226312593.42999998</v>
      </c>
      <c r="E177" s="811"/>
      <c r="F177" s="832"/>
    </row>
    <row r="178" spans="2:6" ht="21.75" customHeight="1">
      <c r="B178" s="821" t="s">
        <v>2379</v>
      </c>
      <c r="C178" s="822" t="s">
        <v>2380</v>
      </c>
      <c r="D178" s="811">
        <v>490235</v>
      </c>
      <c r="E178" s="811"/>
      <c r="F178" s="832"/>
    </row>
    <row r="179" spans="2:6" ht="21.75" customHeight="1">
      <c r="B179" s="821" t="s">
        <v>2381</v>
      </c>
      <c r="C179" s="822" t="s">
        <v>2382</v>
      </c>
      <c r="D179" s="811">
        <v>146196722.94</v>
      </c>
      <c r="E179" s="811"/>
      <c r="F179" s="832"/>
    </row>
    <row r="180" spans="2:6" ht="21.75" customHeight="1">
      <c r="B180" s="821"/>
      <c r="C180" s="822" t="s">
        <v>2408</v>
      </c>
      <c r="D180" s="811">
        <f>397430744.38</f>
        <v>397430744.38</v>
      </c>
      <c r="E180" s="811"/>
      <c r="F180" s="832"/>
    </row>
    <row r="181" spans="2:6" ht="21.75" customHeight="1">
      <c r="B181" s="821"/>
      <c r="C181" s="822"/>
      <c r="D181" s="823">
        <f>SUM(D171:D180)</f>
        <v>1068134275.4</v>
      </c>
      <c r="E181" s="811"/>
      <c r="F181" s="832"/>
    </row>
    <row r="182" spans="2:6" ht="21.75" customHeight="1">
      <c r="B182" s="821"/>
      <c r="C182" s="846" t="s">
        <v>604</v>
      </c>
      <c r="D182" s="823"/>
      <c r="E182" s="811"/>
      <c r="F182" s="832"/>
    </row>
    <row r="183" spans="2:6" ht="21.75" customHeight="1">
      <c r="B183" s="821"/>
      <c r="C183" s="788" t="s">
        <v>603</v>
      </c>
      <c r="D183" s="823">
        <v>140449961</v>
      </c>
      <c r="E183" s="811"/>
      <c r="F183" s="832"/>
    </row>
    <row r="184" spans="2:6" ht="21.75" customHeight="1">
      <c r="B184" s="821"/>
      <c r="C184" s="846" t="s">
        <v>2418</v>
      </c>
      <c r="D184" s="811"/>
      <c r="E184" s="818"/>
      <c r="F184" s="832"/>
    </row>
    <row r="185" spans="2:6" ht="21.75" customHeight="1">
      <c r="B185" s="821"/>
      <c r="C185" s="788" t="s">
        <v>2263</v>
      </c>
      <c r="D185" s="801">
        <v>13966050</v>
      </c>
      <c r="E185" s="811"/>
      <c r="F185" s="832"/>
    </row>
    <row r="186" spans="2:6" ht="21.75" customHeight="1">
      <c r="B186" s="821"/>
      <c r="C186" s="800" t="s">
        <v>882</v>
      </c>
      <c r="D186" s="811"/>
      <c r="E186" s="818"/>
      <c r="F186" s="832"/>
    </row>
    <row r="187" spans="2:6" ht="21.75" customHeight="1">
      <c r="B187" s="821"/>
      <c r="C187" s="790" t="s">
        <v>2413</v>
      </c>
      <c r="D187" s="811">
        <f>3538000*1000</f>
        <v>3538000000</v>
      </c>
      <c r="E187" s="818"/>
      <c r="F187" s="832"/>
    </row>
    <row r="188" spans="2:6" ht="21.75" customHeight="1">
      <c r="B188" s="821"/>
      <c r="C188" s="816" t="s">
        <v>1266</v>
      </c>
      <c r="D188" s="837">
        <f>10685006.12837*1000</f>
        <v>10685006128.37</v>
      </c>
      <c r="E188" s="808"/>
      <c r="F188" s="832"/>
    </row>
    <row r="189" spans="2:6" ht="21.75" customHeight="1">
      <c r="B189" s="821"/>
      <c r="C189" s="816" t="s">
        <v>7</v>
      </c>
      <c r="D189" s="837">
        <f>232296.6*1000</f>
        <v>232296600</v>
      </c>
      <c r="E189" s="808"/>
      <c r="F189" s="832"/>
    </row>
    <row r="190" spans="2:6" ht="21.75" customHeight="1">
      <c r="B190" s="821"/>
      <c r="C190" s="816" t="s">
        <v>941</v>
      </c>
      <c r="D190" s="837">
        <f>901919.665*1000</f>
        <v>901919665</v>
      </c>
      <c r="E190" s="808"/>
      <c r="F190" s="832"/>
    </row>
    <row r="191" spans="2:6" ht="21.75" customHeight="1">
      <c r="B191" s="821"/>
      <c r="C191" s="816" t="s">
        <v>8</v>
      </c>
      <c r="D191" s="837">
        <f>1041828.5*1000</f>
        <v>1041828500</v>
      </c>
      <c r="E191" s="808"/>
      <c r="F191" s="832"/>
    </row>
    <row r="192" spans="2:5" ht="21.75" customHeight="1">
      <c r="B192" s="821"/>
      <c r="C192" s="816" t="s">
        <v>1269</v>
      </c>
      <c r="D192" s="837">
        <f>4077846.76783*1000</f>
        <v>4077846767.83</v>
      </c>
      <c r="E192" s="808"/>
    </row>
    <row r="193" spans="2:6" ht="21.75" customHeight="1">
      <c r="B193" s="821"/>
      <c r="C193" s="816" t="s">
        <v>1271</v>
      </c>
      <c r="D193" s="837">
        <f>5334130.02098*1000</f>
        <v>5334130020.98</v>
      </c>
      <c r="E193" s="808"/>
      <c r="F193" s="834"/>
    </row>
    <row r="194" spans="2:6" ht="21.75" customHeight="1">
      <c r="B194" s="821"/>
      <c r="C194" s="816"/>
      <c r="D194" s="986">
        <f>SUM(D187:D193)</f>
        <v>25811027682.18</v>
      </c>
      <c r="E194" s="808"/>
      <c r="F194" s="832"/>
    </row>
    <row r="195" spans="2:7" ht="21.75" customHeight="1">
      <c r="B195" s="821"/>
      <c r="C195" s="816" t="s">
        <v>2488</v>
      </c>
      <c r="D195" s="986"/>
      <c r="E195" s="994">
        <f>3582125.735242*1000</f>
        <v>3582125735.2419996</v>
      </c>
      <c r="F195" s="832"/>
      <c r="G195" s="827"/>
    </row>
    <row r="196" spans="2:7" ht="21.75" customHeight="1">
      <c r="B196" s="821"/>
      <c r="C196" s="816" t="s">
        <v>2489</v>
      </c>
      <c r="D196" s="986"/>
      <c r="E196" s="994">
        <f>226350.3*1000</f>
        <v>226350300</v>
      </c>
      <c r="F196" s="832"/>
      <c r="G196" s="827"/>
    </row>
    <row r="197" spans="2:7" ht="21.75" customHeight="1">
      <c r="B197" s="821"/>
      <c r="C197" s="816" t="s">
        <v>2490</v>
      </c>
      <c r="D197" s="986"/>
      <c r="E197" s="994">
        <f>821844.293*1000</f>
        <v>821844293</v>
      </c>
      <c r="F197" s="832"/>
      <c r="G197" s="827"/>
    </row>
    <row r="198" spans="2:7" ht="21.75" customHeight="1">
      <c r="B198" s="821"/>
      <c r="C198" s="816" t="s">
        <v>8</v>
      </c>
      <c r="D198" s="986"/>
      <c r="E198" s="994">
        <f>1297227.875*1000</f>
        <v>1297227875</v>
      </c>
      <c r="F198" s="832"/>
      <c r="G198" s="827"/>
    </row>
    <row r="199" spans="2:7" ht="21.75" customHeight="1">
      <c r="B199" s="821"/>
      <c r="C199" s="816" t="s">
        <v>1269</v>
      </c>
      <c r="D199" s="986"/>
      <c r="E199" s="994">
        <f>1022880.00582893*1000</f>
        <v>1022880005.8289299</v>
      </c>
      <c r="F199" s="832"/>
      <c r="G199" s="827"/>
    </row>
    <row r="200" spans="2:7" ht="21.75" customHeight="1">
      <c r="B200" s="821"/>
      <c r="C200" s="816" t="s">
        <v>1271</v>
      </c>
      <c r="D200" s="986"/>
      <c r="E200" s="994">
        <f>3163850.335525*1000</f>
        <v>3163850335.525</v>
      </c>
      <c r="F200" s="832"/>
      <c r="G200" s="827"/>
    </row>
    <row r="201" spans="2:7" ht="21.75" customHeight="1">
      <c r="B201" s="821"/>
      <c r="C201" s="816"/>
      <c r="D201" s="986"/>
      <c r="E201" s="819">
        <f>SUM(E195:E200)</f>
        <v>10114278544.59593</v>
      </c>
      <c r="F201" s="832"/>
      <c r="G201" s="995"/>
    </row>
    <row r="202" spans="2:7" ht="21.75" customHeight="1">
      <c r="B202" s="821"/>
      <c r="C202" s="816" t="s">
        <v>2049</v>
      </c>
      <c r="D202" s="808"/>
      <c r="E202" s="854">
        <f>'BS'!D30*1000-1040511942.38</f>
        <v>19223274636.39667</v>
      </c>
      <c r="G202" s="827"/>
    </row>
    <row r="203" spans="2:7" ht="21.75" customHeight="1">
      <c r="B203" s="821"/>
      <c r="C203" s="816" t="s">
        <v>2415</v>
      </c>
      <c r="D203" s="819">
        <v>4038342090.64</v>
      </c>
      <c r="E203" s="854"/>
      <c r="G203" s="848"/>
    </row>
    <row r="204" spans="2:7" ht="29.25" customHeight="1" thickBot="1">
      <c r="B204" s="843"/>
      <c r="C204" s="844" t="s">
        <v>943</v>
      </c>
      <c r="D204" s="845">
        <f>D194+D185+D183+D181+D159+D152+D127+D72+D203</f>
        <v>64172679902.21</v>
      </c>
      <c r="E204" s="845">
        <f>E203+E202+E58+E168+E167+E52+E40+E35+E33+E12+E53+E201</f>
        <v>64172679902.2126</v>
      </c>
      <c r="G204" s="850"/>
    </row>
    <row r="205" spans="4:5" ht="19.5" customHeight="1" thickTop="1">
      <c r="D205" s="834"/>
      <c r="E205" s="833"/>
    </row>
    <row r="206" spans="4:7" ht="19.5" customHeight="1">
      <c r="D206" s="834"/>
      <c r="G206" s="850"/>
    </row>
  </sheetData>
  <sheetProtection/>
  <mergeCells count="4">
    <mergeCell ref="B1:E1"/>
    <mergeCell ref="B2:E2"/>
    <mergeCell ref="G2:H2"/>
    <mergeCell ref="C59:D59"/>
  </mergeCells>
  <printOptions/>
  <pageMargins left="0.49" right="0.42" top="0.49" bottom="0.75" header="0.3" footer="0.3"/>
  <pageSetup firstPageNumber="1" useFirstPageNumber="1" horizontalDpi="600" verticalDpi="60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AB35"/>
  <sheetViews>
    <sheetView zoomScalePageLayoutView="0" workbookViewId="0" topLeftCell="A10">
      <selection activeCell="M4" sqref="M4"/>
    </sheetView>
  </sheetViews>
  <sheetFormatPr defaultColWidth="9.00390625" defaultRowHeight="15.75"/>
  <cols>
    <col min="1" max="1" width="3.25390625" style="673" customWidth="1"/>
    <col min="2" max="2" width="32.00390625" style="673" customWidth="1"/>
    <col min="3" max="3" width="15.125" style="673" customWidth="1"/>
    <col min="4" max="4" width="0.875" style="673" customWidth="1"/>
    <col min="5" max="5" width="11.75390625" style="673" customWidth="1"/>
    <col min="6" max="6" width="0.875" style="673" customWidth="1"/>
    <col min="7" max="7" width="12.00390625" style="673" customWidth="1"/>
    <col min="8" max="8" width="0.875" style="673" customWidth="1"/>
    <col min="9" max="9" width="13.00390625" style="673" customWidth="1"/>
    <col min="10" max="10" width="0.875" style="673" customWidth="1"/>
    <col min="11" max="11" width="8.75390625" style="673" customWidth="1"/>
    <col min="12" max="12" width="0.5" style="673" customWidth="1"/>
    <col min="13" max="13" width="12.125" style="673" bestFit="1" customWidth="1"/>
    <col min="14" max="14" width="0.74609375" style="673" customWidth="1"/>
    <col min="15" max="15" width="11.50390625" style="673" bestFit="1" customWidth="1"/>
    <col min="16" max="16" width="1.00390625" style="673" customWidth="1"/>
    <col min="17" max="17" width="12.625" style="673" customWidth="1"/>
    <col min="18" max="18" width="0.5" style="673" customWidth="1"/>
    <col min="19" max="19" width="11.25390625" style="673" customWidth="1"/>
    <col min="20" max="20" width="1.00390625" style="673" customWidth="1"/>
    <col min="21" max="21" width="7.75390625" style="673" customWidth="1"/>
    <col min="22" max="22" width="0.5" style="673" customWidth="1"/>
    <col min="23" max="23" width="11.375" style="673" customWidth="1"/>
    <col min="24" max="24" width="0.875" style="673" customWidth="1"/>
    <col min="25" max="25" width="12.00390625" style="673" customWidth="1"/>
    <col min="26" max="26" width="1.12109375" style="673" customWidth="1"/>
    <col min="27" max="27" width="9.00390625" style="673" customWidth="1"/>
    <col min="28" max="28" width="10.50390625" style="673" bestFit="1" customWidth="1"/>
    <col min="29" max="16384" width="9.00390625" style="673" customWidth="1"/>
  </cols>
  <sheetData>
    <row r="1" ht="15.75">
      <c r="A1" s="667" t="str">
        <f>'[4]Notes'!A1</f>
        <v>THE UNITED REPUBLIC OF TANZANIA</v>
      </c>
    </row>
    <row r="2" spans="1:7" ht="15.75">
      <c r="A2" s="667" t="str">
        <f>'[4]Notes'!A2</f>
        <v>PRIME MINISTER’S OFFICE - REGIONAL ADMINISTRATION AND LOCAL GOVERNMENT</v>
      </c>
      <c r="G2" s="712"/>
    </row>
    <row r="3" ht="15.75">
      <c r="A3" s="667"/>
    </row>
    <row r="4" spans="1:7" ht="15.75">
      <c r="A4" s="667"/>
      <c r="G4" s="712"/>
    </row>
    <row r="5" spans="1:9" ht="15.75">
      <c r="A5" s="667" t="str">
        <f>'[5]Notes'!A5</f>
        <v>NOTES TO THE FINANCIAL STATEMENTS (Continued)</v>
      </c>
      <c r="G5" s="679"/>
      <c r="I5" s="705"/>
    </row>
    <row r="6" spans="1:9" ht="15.75">
      <c r="A6" s="667" t="str">
        <f>'[5]Notes'!A6</f>
        <v>FOR THE YEAR ENDED 30 JUNE 2016</v>
      </c>
      <c r="G6" s="712"/>
      <c r="I6" s="780"/>
    </row>
    <row r="7" spans="7:23" ht="15.75">
      <c r="G7" s="679"/>
      <c r="S7" s="679"/>
      <c r="U7" s="679"/>
      <c r="W7" s="679"/>
    </row>
    <row r="8" spans="1:4" ht="13.5" customHeight="1">
      <c r="A8" s="713">
        <f>'[5]Notes'!A268+1</f>
        <v>31</v>
      </c>
      <c r="B8" s="667" t="s">
        <v>2498</v>
      </c>
      <c r="C8" s="667"/>
      <c r="D8" s="667"/>
    </row>
    <row r="9" spans="1:26" s="996" customFormat="1" ht="15.75">
      <c r="A9" s="714"/>
      <c r="B9" s="1009"/>
      <c r="C9" s="1010" t="s">
        <v>2064</v>
      </c>
      <c r="D9" s="1010"/>
      <c r="E9" s="1010"/>
      <c r="F9" s="1010"/>
      <c r="G9" s="1010"/>
      <c r="H9" s="1010"/>
      <c r="I9" s="1010"/>
      <c r="J9" s="1010"/>
      <c r="K9" s="1010"/>
      <c r="L9" s="1010"/>
      <c r="M9" s="1010"/>
      <c r="N9" s="715"/>
      <c r="O9" s="1010" t="s">
        <v>2065</v>
      </c>
      <c r="P9" s="1010"/>
      <c r="Q9" s="1010"/>
      <c r="R9" s="1010"/>
      <c r="S9" s="1010"/>
      <c r="T9" s="1010"/>
      <c r="U9" s="1010"/>
      <c r="V9" s="1010"/>
      <c r="W9" s="1010"/>
      <c r="X9" s="715"/>
      <c r="Y9" s="1011" t="s">
        <v>60</v>
      </c>
      <c r="Z9" s="715"/>
    </row>
    <row r="10" spans="2:25" s="997" customFormat="1" ht="15.75">
      <c r="B10" s="1009"/>
      <c r="C10" s="697" t="s">
        <v>59</v>
      </c>
      <c r="D10" s="697"/>
      <c r="I10" s="1012" t="s">
        <v>2410</v>
      </c>
      <c r="M10" s="997" t="s">
        <v>1784</v>
      </c>
      <c r="O10" s="997" t="s">
        <v>1784</v>
      </c>
      <c r="Q10" s="997" t="s">
        <v>745</v>
      </c>
      <c r="S10" s="997" t="s">
        <v>63</v>
      </c>
      <c r="U10" s="1014" t="s">
        <v>1264</v>
      </c>
      <c r="W10" s="697" t="s">
        <v>1784</v>
      </c>
      <c r="Y10" s="1011"/>
    </row>
    <row r="11" spans="3:25" s="997" customFormat="1" ht="32.25" customHeight="1">
      <c r="C11" s="716" t="s">
        <v>2494</v>
      </c>
      <c r="D11" s="697"/>
      <c r="E11" s="717" t="s">
        <v>1263</v>
      </c>
      <c r="G11" s="717" t="s">
        <v>241</v>
      </c>
      <c r="I11" s="1013"/>
      <c r="K11" s="717" t="s">
        <v>1264</v>
      </c>
      <c r="M11" s="718" t="s">
        <v>62</v>
      </c>
      <c r="O11" s="718" t="s">
        <v>61</v>
      </c>
      <c r="Q11" s="695" t="s">
        <v>744</v>
      </c>
      <c r="R11" s="697"/>
      <c r="S11" s="695" t="s">
        <v>64</v>
      </c>
      <c r="T11" s="697"/>
      <c r="U11" s="1015"/>
      <c r="W11" s="716" t="s">
        <v>62</v>
      </c>
      <c r="Y11" s="718" t="s">
        <v>62</v>
      </c>
    </row>
    <row r="12" spans="1:26" s="694" customFormat="1" ht="15.75">
      <c r="A12" s="701"/>
      <c r="B12" s="719">
        <v>2016</v>
      </c>
      <c r="C12" s="748"/>
      <c r="D12" s="720"/>
      <c r="E12" s="721"/>
      <c r="F12" s="721"/>
      <c r="G12" s="721"/>
      <c r="H12" s="721"/>
      <c r="I12" s="721"/>
      <c r="J12" s="721"/>
      <c r="K12" s="721"/>
      <c r="L12" s="721"/>
      <c r="M12" s="721"/>
      <c r="N12" s="721"/>
      <c r="O12" s="721"/>
      <c r="P12" s="721"/>
      <c r="Q12" s="721"/>
      <c r="R12" s="721"/>
      <c r="S12" s="721"/>
      <c r="T12" s="721"/>
      <c r="U12" s="721"/>
      <c r="V12" s="721"/>
      <c r="W12" s="721"/>
      <c r="X12" s="721"/>
      <c r="Y12" s="721"/>
      <c r="Z12" s="721"/>
    </row>
    <row r="13" spans="1:26" s="694" customFormat="1" ht="15.75">
      <c r="A13" s="701"/>
      <c r="B13" s="722" t="s">
        <v>747</v>
      </c>
      <c r="C13" s="720"/>
      <c r="D13" s="720"/>
      <c r="E13" s="721"/>
      <c r="F13" s="721"/>
      <c r="G13" s="721"/>
      <c r="H13" s="721"/>
      <c r="I13" s="721"/>
      <c r="J13" s="721"/>
      <c r="K13" s="721"/>
      <c r="L13" s="721"/>
      <c r="M13" s="721"/>
      <c r="N13" s="721"/>
      <c r="O13" s="721"/>
      <c r="P13" s="721"/>
      <c r="Q13" s="721"/>
      <c r="R13" s="721"/>
      <c r="S13" s="721"/>
      <c r="T13" s="721"/>
      <c r="U13" s="721"/>
      <c r="V13" s="721"/>
      <c r="W13" s="721"/>
      <c r="X13" s="721"/>
      <c r="Y13" s="721"/>
      <c r="Z13" s="721"/>
    </row>
    <row r="14" spans="1:26" s="694" customFormat="1" ht="15.75">
      <c r="A14" s="701"/>
      <c r="B14" s="849" t="s">
        <v>1265</v>
      </c>
      <c r="D14" s="748"/>
      <c r="E14" s="958">
        <v>3538000</v>
      </c>
      <c r="F14" s="729"/>
      <c r="G14" s="729">
        <v>0</v>
      </c>
      <c r="H14" s="729"/>
      <c r="I14" s="723">
        <v>0</v>
      </c>
      <c r="J14" s="729"/>
      <c r="K14" s="729"/>
      <c r="L14" s="729"/>
      <c r="M14" s="723">
        <v>3538000</v>
      </c>
      <c r="N14" s="721"/>
      <c r="O14" s="729">
        <v>0</v>
      </c>
      <c r="P14" s="729"/>
      <c r="Q14" s="729">
        <v>0</v>
      </c>
      <c r="R14" s="729"/>
      <c r="S14" s="729"/>
      <c r="T14" s="729"/>
      <c r="U14" s="729">
        <v>0</v>
      </c>
      <c r="V14" s="729"/>
      <c r="W14" s="729"/>
      <c r="X14" s="729"/>
      <c r="Y14" s="723">
        <v>3538000</v>
      </c>
      <c r="Z14" s="721"/>
    </row>
    <row r="15" spans="1:28" s="694" customFormat="1" ht="15.75">
      <c r="A15" s="701"/>
      <c r="B15" s="694" t="s">
        <v>1266</v>
      </c>
      <c r="C15" s="723">
        <v>7330775.6382628</v>
      </c>
      <c r="D15" s="723"/>
      <c r="E15" s="723">
        <v>199505</v>
      </c>
      <c r="F15" s="723"/>
      <c r="G15" s="723">
        <v>0</v>
      </c>
      <c r="H15" s="723"/>
      <c r="I15" s="723">
        <v>15872719.3617372</v>
      </c>
      <c r="J15" s="723"/>
      <c r="K15" s="723"/>
      <c r="L15" s="723"/>
      <c r="M15" s="723">
        <v>23403000</v>
      </c>
      <c r="N15" s="723"/>
      <c r="O15" s="723"/>
      <c r="P15" s="723"/>
      <c r="Q15" s="723">
        <v>936120</v>
      </c>
      <c r="R15" s="721"/>
      <c r="S15" s="721"/>
      <c r="T15" s="721"/>
      <c r="U15" s="723">
        <v>0</v>
      </c>
      <c r="V15" s="721"/>
      <c r="W15" s="723">
        <v>936120</v>
      </c>
      <c r="X15" s="723"/>
      <c r="Y15" s="723">
        <v>22466880</v>
      </c>
      <c r="Z15" s="721"/>
      <c r="AB15" s="729"/>
    </row>
    <row r="16" spans="1:28" s="694" customFormat="1" ht="15.75">
      <c r="A16" s="701"/>
      <c r="B16" s="694" t="s">
        <v>7</v>
      </c>
      <c r="C16" s="723">
        <v>29175.959999999963</v>
      </c>
      <c r="D16" s="723"/>
      <c r="E16" s="723"/>
      <c r="F16" s="723"/>
      <c r="G16" s="723">
        <v>0</v>
      </c>
      <c r="H16" s="723"/>
      <c r="I16" s="723">
        <v>86824.04000000004</v>
      </c>
      <c r="J16" s="723"/>
      <c r="K16" s="723"/>
      <c r="L16" s="723"/>
      <c r="M16" s="723">
        <v>116000</v>
      </c>
      <c r="N16" s="723"/>
      <c r="O16" s="723"/>
      <c r="P16" s="723"/>
      <c r="Q16" s="723">
        <v>11600</v>
      </c>
      <c r="R16" s="721"/>
      <c r="S16" s="721"/>
      <c r="T16" s="721"/>
      <c r="U16" s="723">
        <v>0</v>
      </c>
      <c r="V16" s="721"/>
      <c r="W16" s="723">
        <v>11600</v>
      </c>
      <c r="X16" s="723"/>
      <c r="Y16" s="723">
        <v>104400</v>
      </c>
      <c r="Z16" s="721"/>
      <c r="AB16" s="729"/>
    </row>
    <row r="17" spans="1:28" s="694" customFormat="1" ht="15.75">
      <c r="A17" s="701"/>
      <c r="B17" s="694" t="s">
        <v>941</v>
      </c>
      <c r="C17" s="723">
        <v>170267.33850000007</v>
      </c>
      <c r="D17" s="723"/>
      <c r="E17" s="723"/>
      <c r="F17" s="723"/>
      <c r="G17" s="723">
        <v>0</v>
      </c>
      <c r="H17" s="723"/>
      <c r="I17" s="723">
        <v>762732.6614999999</v>
      </c>
      <c r="J17" s="723"/>
      <c r="K17" s="723"/>
      <c r="L17" s="723"/>
      <c r="M17" s="723">
        <v>933000</v>
      </c>
      <c r="N17" s="723"/>
      <c r="O17" s="723"/>
      <c r="P17" s="723"/>
      <c r="Q17" s="723">
        <v>93300</v>
      </c>
      <c r="R17" s="721"/>
      <c r="S17" s="721"/>
      <c r="T17" s="721"/>
      <c r="U17" s="723">
        <v>0</v>
      </c>
      <c r="V17" s="721"/>
      <c r="W17" s="723">
        <v>93300</v>
      </c>
      <c r="X17" s="723"/>
      <c r="Y17" s="723">
        <v>839700</v>
      </c>
      <c r="Z17" s="721"/>
      <c r="AB17" s="729"/>
    </row>
    <row r="18" spans="1:26" s="694" customFormat="1" ht="15.75">
      <c r="A18" s="701"/>
      <c r="B18" s="694" t="s">
        <v>8</v>
      </c>
      <c r="C18" s="723">
        <v>5057.75</v>
      </c>
      <c r="D18" s="723"/>
      <c r="E18" s="723"/>
      <c r="F18" s="723"/>
      <c r="G18" s="723">
        <v>0</v>
      </c>
      <c r="H18" s="723"/>
      <c r="I18" s="723">
        <v>1932276.25</v>
      </c>
      <c r="J18" s="723"/>
      <c r="K18" s="723"/>
      <c r="L18" s="723"/>
      <c r="M18" s="723">
        <v>1937334</v>
      </c>
      <c r="N18" s="723"/>
      <c r="O18" s="723"/>
      <c r="P18" s="723"/>
      <c r="Q18" s="723">
        <v>484333.5</v>
      </c>
      <c r="R18" s="721"/>
      <c r="S18" s="721"/>
      <c r="T18" s="721"/>
      <c r="U18" s="723">
        <v>0</v>
      </c>
      <c r="V18" s="721"/>
      <c r="W18" s="723">
        <v>484333.5</v>
      </c>
      <c r="X18" s="723"/>
      <c r="Y18" s="723">
        <v>1453000.5</v>
      </c>
      <c r="Z18" s="721"/>
    </row>
    <row r="19" spans="1:26" s="694" customFormat="1" ht="15.75">
      <c r="A19" s="701"/>
      <c r="B19" s="694" t="s">
        <v>1117</v>
      </c>
      <c r="C19" s="723">
        <v>0</v>
      </c>
      <c r="D19" s="723"/>
      <c r="E19" s="723">
        <v>0</v>
      </c>
      <c r="F19" s="723"/>
      <c r="G19" s="723">
        <v>0</v>
      </c>
      <c r="H19" s="723"/>
      <c r="I19" s="723"/>
      <c r="J19" s="723"/>
      <c r="K19" s="723"/>
      <c r="L19" s="723"/>
      <c r="M19" s="723">
        <v>0</v>
      </c>
      <c r="N19" s="723"/>
      <c r="O19" s="723">
        <v>0</v>
      </c>
      <c r="P19" s="723"/>
      <c r="Q19" s="723"/>
      <c r="R19" s="721"/>
      <c r="S19" s="721"/>
      <c r="T19" s="721"/>
      <c r="U19" s="723"/>
      <c r="V19" s="721"/>
      <c r="W19" s="723">
        <v>0</v>
      </c>
      <c r="X19" s="723"/>
      <c r="Y19" s="723">
        <v>0</v>
      </c>
      <c r="Z19" s="721"/>
    </row>
    <row r="20" spans="1:26" s="690" customFormat="1" ht="15.75">
      <c r="A20" s="715"/>
      <c r="B20" s="724"/>
      <c r="C20" s="688">
        <v>7535276.6867628</v>
      </c>
      <c r="D20" s="688">
        <v>0</v>
      </c>
      <c r="E20" s="688">
        <v>3737505</v>
      </c>
      <c r="F20" s="725"/>
      <c r="G20" s="688">
        <v>0</v>
      </c>
      <c r="H20" s="725"/>
      <c r="I20" s="688">
        <v>18654552.313237198</v>
      </c>
      <c r="J20" s="725"/>
      <c r="K20" s="688">
        <v>0</v>
      </c>
      <c r="L20" s="725"/>
      <c r="M20" s="688">
        <v>29927334</v>
      </c>
      <c r="N20" s="726"/>
      <c r="O20" s="688">
        <v>0</v>
      </c>
      <c r="P20" s="725"/>
      <c r="Q20" s="688">
        <v>1525353.5</v>
      </c>
      <c r="R20" s="726"/>
      <c r="S20" s="688">
        <v>0</v>
      </c>
      <c r="T20" s="725"/>
      <c r="U20" s="688">
        <v>0</v>
      </c>
      <c r="V20" s="725"/>
      <c r="W20" s="688">
        <v>1525353.5</v>
      </c>
      <c r="X20" s="726"/>
      <c r="Y20" s="688">
        <v>28401980.5</v>
      </c>
      <c r="Z20" s="726"/>
    </row>
    <row r="21" spans="1:26" s="694" customFormat="1" ht="15.75">
      <c r="A21" s="701"/>
      <c r="B21" s="727" t="s">
        <v>11</v>
      </c>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row>
    <row r="22" spans="1:27" s="694" customFormat="1" ht="15.75">
      <c r="A22" s="701"/>
      <c r="B22" s="694" t="s">
        <v>1269</v>
      </c>
      <c r="C22" s="723">
        <v>3326959.1414153334</v>
      </c>
      <c r="D22" s="721"/>
      <c r="E22" s="723"/>
      <c r="F22" s="723"/>
      <c r="G22" s="723"/>
      <c r="H22" s="723"/>
      <c r="I22" s="723">
        <v>-854959.1414153334</v>
      </c>
      <c r="J22" s="723"/>
      <c r="K22" s="723"/>
      <c r="L22" s="723"/>
      <c r="M22" s="723">
        <v>2472000</v>
      </c>
      <c r="N22" s="721"/>
      <c r="O22" s="723"/>
      <c r="P22" s="721"/>
      <c r="Q22" s="826">
        <v>164882.4</v>
      </c>
      <c r="R22" s="721"/>
      <c r="S22" s="721"/>
      <c r="T22" s="721"/>
      <c r="U22" s="723">
        <v>0</v>
      </c>
      <c r="V22" s="721"/>
      <c r="W22" s="723">
        <v>164882.4</v>
      </c>
      <c r="X22" s="723"/>
      <c r="Y22" s="723">
        <v>2307117.6</v>
      </c>
      <c r="Z22" s="721"/>
      <c r="AA22" s="787"/>
    </row>
    <row r="23" spans="1:26" s="694" customFormat="1" ht="15.75">
      <c r="A23" s="701"/>
      <c r="B23" s="694" t="s">
        <v>1271</v>
      </c>
      <c r="C23" s="723">
        <v>42905.64513000008</v>
      </c>
      <c r="D23" s="721"/>
      <c r="E23" s="671">
        <v>1195516.9991000001</v>
      </c>
      <c r="F23" s="723"/>
      <c r="G23" s="723">
        <v>2265389.54647</v>
      </c>
      <c r="H23" s="723"/>
      <c r="I23" s="723">
        <v>-1751812.1907000002</v>
      </c>
      <c r="J23" s="723"/>
      <c r="K23" s="723"/>
      <c r="L23" s="723"/>
      <c r="M23" s="723">
        <v>1752000</v>
      </c>
      <c r="N23" s="721"/>
      <c r="O23" s="723"/>
      <c r="P23" s="721"/>
      <c r="Q23" s="826">
        <v>438000</v>
      </c>
      <c r="R23" s="721"/>
      <c r="S23" s="721"/>
      <c r="T23" s="721"/>
      <c r="U23" s="729">
        <v>0</v>
      </c>
      <c r="V23" s="721"/>
      <c r="W23" s="723">
        <v>438000</v>
      </c>
      <c r="X23" s="723"/>
      <c r="Y23" s="723">
        <v>1314000</v>
      </c>
      <c r="Z23" s="721"/>
    </row>
    <row r="24" spans="1:26" s="694" customFormat="1" ht="15.75">
      <c r="A24" s="701"/>
      <c r="B24" s="694" t="s">
        <v>1117</v>
      </c>
      <c r="C24" s="723">
        <v>1970167.6168999998</v>
      </c>
      <c r="D24" s="721"/>
      <c r="E24" s="723">
        <v>295221.92957</v>
      </c>
      <c r="F24" s="723"/>
      <c r="G24" s="723">
        <v>-2265389.54647</v>
      </c>
      <c r="H24" s="723"/>
      <c r="I24" s="723"/>
      <c r="J24" s="723"/>
      <c r="K24" s="723"/>
      <c r="L24" s="723"/>
      <c r="M24" s="746">
        <v>0</v>
      </c>
      <c r="N24" s="721"/>
      <c r="O24" s="723"/>
      <c r="P24" s="723"/>
      <c r="Q24" s="723"/>
      <c r="R24" s="723"/>
      <c r="S24" s="723"/>
      <c r="T24" s="723"/>
      <c r="U24" s="723"/>
      <c r="V24" s="721"/>
      <c r="W24" s="723">
        <v>0</v>
      </c>
      <c r="X24" s="723"/>
      <c r="Y24" s="723">
        <v>0</v>
      </c>
      <c r="Z24" s="721"/>
    </row>
    <row r="25" spans="1:26" s="690" customFormat="1" ht="15.75">
      <c r="A25" s="715"/>
      <c r="B25" s="784"/>
      <c r="C25" s="688">
        <v>5340032.403445333</v>
      </c>
      <c r="D25" s="725"/>
      <c r="E25" s="688">
        <v>1490738.92867</v>
      </c>
      <c r="F25" s="725"/>
      <c r="G25" s="688">
        <v>0</v>
      </c>
      <c r="H25" s="725"/>
      <c r="I25" s="688">
        <v>-2606771.3321153335</v>
      </c>
      <c r="J25" s="725"/>
      <c r="K25" s="688">
        <v>0</v>
      </c>
      <c r="L25" s="725"/>
      <c r="M25" s="747">
        <v>4224000</v>
      </c>
      <c r="N25" s="726"/>
      <c r="O25" s="688">
        <v>0</v>
      </c>
      <c r="P25" s="725"/>
      <c r="Q25" s="688">
        <v>602882.4</v>
      </c>
      <c r="R25" s="725"/>
      <c r="S25" s="688">
        <v>0</v>
      </c>
      <c r="T25" s="725"/>
      <c r="U25" s="688">
        <v>0</v>
      </c>
      <c r="V25" s="726"/>
      <c r="W25" s="688">
        <v>602882.4</v>
      </c>
      <c r="X25" s="725"/>
      <c r="Y25" s="688">
        <v>3621117.6</v>
      </c>
      <c r="Z25" s="726"/>
    </row>
    <row r="26" spans="1:26" s="690" customFormat="1" ht="12.75" customHeight="1">
      <c r="A26" s="715"/>
      <c r="B26" s="724"/>
      <c r="C26" s="725"/>
      <c r="D26" s="725"/>
      <c r="E26" s="725"/>
      <c r="F26" s="725"/>
      <c r="G26" s="725"/>
      <c r="H26" s="725"/>
      <c r="I26" s="725"/>
      <c r="J26" s="725"/>
      <c r="K26" s="725"/>
      <c r="L26" s="725"/>
      <c r="M26" s="725"/>
      <c r="N26" s="726"/>
      <c r="O26" s="725"/>
      <c r="P26" s="725"/>
      <c r="Q26" s="725"/>
      <c r="R26" s="725"/>
      <c r="S26" s="725"/>
      <c r="T26" s="725"/>
      <c r="U26" s="725"/>
      <c r="V26" s="725"/>
      <c r="W26" s="723"/>
      <c r="X26" s="725"/>
      <c r="Y26" s="725"/>
      <c r="Z26" s="726"/>
    </row>
    <row r="27" spans="1:26" s="690" customFormat="1" ht="16.5" thickBot="1">
      <c r="A27" s="715"/>
      <c r="B27" s="690" t="s">
        <v>943</v>
      </c>
      <c r="C27" s="728">
        <v>12875309.090208134</v>
      </c>
      <c r="D27" s="725"/>
      <c r="E27" s="728">
        <v>5228243.92867</v>
      </c>
      <c r="F27" s="725"/>
      <c r="G27" s="728">
        <v>0</v>
      </c>
      <c r="H27" s="725"/>
      <c r="I27" s="728">
        <v>16047780.981121864</v>
      </c>
      <c r="J27" s="725"/>
      <c r="K27" s="728">
        <v>0</v>
      </c>
      <c r="L27" s="725"/>
      <c r="M27" s="728">
        <v>34151334</v>
      </c>
      <c r="N27" s="726"/>
      <c r="O27" s="728">
        <v>0</v>
      </c>
      <c r="P27" s="725"/>
      <c r="Q27" s="728">
        <v>2128235.9</v>
      </c>
      <c r="R27" s="725"/>
      <c r="S27" s="728">
        <v>0</v>
      </c>
      <c r="T27" s="725"/>
      <c r="U27" s="728">
        <v>0</v>
      </c>
      <c r="V27" s="725"/>
      <c r="W27" s="728">
        <v>2128235.9</v>
      </c>
      <c r="X27" s="725"/>
      <c r="Y27" s="728">
        <v>32023098.1</v>
      </c>
      <c r="Z27" s="726"/>
    </row>
    <row r="28" spans="1:26" s="694" customFormat="1" ht="16.5" thickTop="1">
      <c r="A28" s="701"/>
      <c r="C28" s="721"/>
      <c r="D28" s="721"/>
      <c r="E28" s="721"/>
      <c r="F28" s="721"/>
      <c r="G28" s="721"/>
      <c r="H28" s="721"/>
      <c r="I28" s="721"/>
      <c r="J28" s="721"/>
      <c r="K28" s="721"/>
      <c r="L28" s="721"/>
      <c r="M28" s="721"/>
      <c r="N28" s="721"/>
      <c r="O28" s="721"/>
      <c r="P28" s="721"/>
      <c r="Q28" s="729"/>
      <c r="R28" s="721"/>
      <c r="S28" s="721"/>
      <c r="T28" s="721"/>
      <c r="U28" s="721"/>
      <c r="V28" s="721"/>
      <c r="W28" s="729"/>
      <c r="X28" s="721"/>
      <c r="Y28" s="721"/>
      <c r="Z28" s="721"/>
    </row>
    <row r="29" s="694" customFormat="1" ht="15.75">
      <c r="A29" s="701"/>
    </row>
    <row r="30" ht="15.75">
      <c r="B30" s="667" t="s">
        <v>2499</v>
      </c>
    </row>
    <row r="31" spans="2:25" s="418" customFormat="1" ht="23.25" customHeight="1">
      <c r="B31" s="999" t="s">
        <v>2495</v>
      </c>
      <c r="C31" s="1"/>
      <c r="D31" s="1"/>
      <c r="E31" s="1"/>
      <c r="F31" s="1"/>
      <c r="G31" s="1"/>
      <c r="H31" s="1"/>
      <c r="I31" s="1"/>
      <c r="J31" s="1"/>
      <c r="K31" s="1"/>
      <c r="L31" s="1"/>
      <c r="M31" s="1"/>
      <c r="N31" s="1"/>
      <c r="O31" s="1"/>
      <c r="P31" s="1"/>
      <c r="Q31" s="1"/>
      <c r="R31" s="1"/>
      <c r="S31" s="1"/>
      <c r="T31" s="1"/>
      <c r="U31" s="1"/>
      <c r="V31" s="1"/>
      <c r="W31" s="1"/>
      <c r="X31" s="1"/>
      <c r="Y31" s="1000"/>
    </row>
    <row r="32" spans="2:24" s="418" customFormat="1" ht="18.75">
      <c r="B32" s="999" t="s">
        <v>2496</v>
      </c>
      <c r="C32" s="1"/>
      <c r="D32" s="1"/>
      <c r="E32" s="1"/>
      <c r="F32" s="1"/>
      <c r="G32" s="1"/>
      <c r="H32" s="1"/>
      <c r="I32" s="1"/>
      <c r="J32" s="1"/>
      <c r="K32" s="1"/>
      <c r="L32" s="1"/>
      <c r="M32" s="1"/>
      <c r="N32" s="1"/>
      <c r="O32" s="1"/>
      <c r="P32" s="1"/>
      <c r="Q32" s="1"/>
      <c r="R32" s="1"/>
      <c r="S32" s="1"/>
      <c r="T32" s="1"/>
      <c r="U32" s="1001"/>
      <c r="V32" s="1"/>
      <c r="W32" s="1"/>
      <c r="X32" s="1"/>
    </row>
    <row r="33" spans="2:24" s="418" customFormat="1" ht="18.75">
      <c r="B33" s="999" t="s">
        <v>2497</v>
      </c>
      <c r="C33" s="1"/>
      <c r="D33" s="1"/>
      <c r="E33" s="1"/>
      <c r="F33" s="1"/>
      <c r="G33" s="1"/>
      <c r="H33" s="1"/>
      <c r="I33" s="1"/>
      <c r="J33" s="1"/>
      <c r="K33" s="1"/>
      <c r="L33" s="1"/>
      <c r="M33" s="1"/>
      <c r="N33" s="1"/>
      <c r="O33" s="1"/>
      <c r="P33" s="1"/>
      <c r="Q33" s="1"/>
      <c r="R33" s="1"/>
      <c r="S33" s="1"/>
      <c r="T33" s="1"/>
      <c r="U33" s="1"/>
      <c r="V33" s="1"/>
      <c r="W33" s="1"/>
      <c r="X33" s="1"/>
    </row>
    <row r="35" spans="19:20" ht="15.75">
      <c r="S35" s="679"/>
      <c r="T35" s="679"/>
    </row>
  </sheetData>
  <sheetProtection/>
  <mergeCells count="6">
    <mergeCell ref="B9:B10"/>
    <mergeCell ref="C9:M9"/>
    <mergeCell ref="O9:W9"/>
    <mergeCell ref="Y9:Y10"/>
    <mergeCell ref="I10:I11"/>
    <mergeCell ref="U10:U11"/>
  </mergeCells>
  <printOptions/>
  <pageMargins left="0.27" right="0.17" top="0.75" bottom="0.75" header="0.3" footer="0.3"/>
  <pageSetup firstPageNumber="52" useFirstPageNumber="1" horizontalDpi="600" verticalDpi="600" orientation="landscape" scale="69"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B70"/>
  <sheetViews>
    <sheetView zoomScaleSheetLayoutView="75" zoomScalePageLayoutView="0" workbookViewId="0" topLeftCell="A10">
      <selection activeCell="B25" sqref="B25"/>
    </sheetView>
  </sheetViews>
  <sheetFormatPr defaultColWidth="9.00390625" defaultRowHeight="15.75"/>
  <cols>
    <col min="1" max="1" width="4.50390625" style="673" customWidth="1"/>
    <col min="2" max="2" width="49.75390625" style="673" customWidth="1"/>
    <col min="3" max="3" width="15.875" style="673" customWidth="1"/>
    <col min="4" max="4" width="0.875" style="673" customWidth="1"/>
    <col min="5" max="5" width="12.00390625" style="673" customWidth="1"/>
    <col min="6" max="6" width="0.875" style="673" customWidth="1"/>
    <col min="7" max="7" width="12.00390625" style="673" customWidth="1"/>
    <col min="8" max="8" width="0.875" style="673" customWidth="1"/>
    <col min="9" max="9" width="13.00390625" style="673" customWidth="1"/>
    <col min="10" max="10" width="0.875" style="673" customWidth="1"/>
    <col min="11" max="11" width="11.75390625" style="673" customWidth="1"/>
    <col min="12" max="12" width="1.00390625" style="673" customWidth="1"/>
    <col min="13" max="13" width="12.125" style="673" bestFit="1" customWidth="1"/>
    <col min="14" max="14" width="1.12109375" style="673" customWidth="1"/>
    <col min="15" max="15" width="11.50390625" style="673" bestFit="1" customWidth="1"/>
    <col min="16" max="16" width="1.00390625" style="673" customWidth="1"/>
    <col min="17" max="17" width="12.75390625" style="673" bestFit="1" customWidth="1"/>
    <col min="18" max="18" width="1.00390625" style="673" customWidth="1"/>
    <col min="19" max="19" width="12.00390625" style="673" customWidth="1"/>
    <col min="20" max="20" width="1.00390625" style="673" customWidth="1"/>
    <col min="21" max="21" width="11.375" style="673" customWidth="1"/>
    <col min="22" max="22" width="0.6171875" style="673" customWidth="1"/>
    <col min="23" max="23" width="12.00390625" style="673" customWidth="1"/>
    <col min="24" max="24" width="1.12109375" style="673" customWidth="1"/>
    <col min="25" max="25" width="13.00390625" style="673" customWidth="1"/>
    <col min="26" max="26" width="1.12109375" style="673" customWidth="1"/>
    <col min="27" max="27" width="9.00390625" style="673" customWidth="1"/>
    <col min="28" max="28" width="10.50390625" style="673" bestFit="1" customWidth="1"/>
    <col min="29" max="16384" width="9.00390625" style="673" customWidth="1"/>
  </cols>
  <sheetData>
    <row r="1" ht="15.75">
      <c r="A1" s="667" t="str">
        <f>'[2]Notes'!A1</f>
        <v>THE UNITED REPUBLIC OF TANZANIA</v>
      </c>
    </row>
    <row r="2" spans="1:7" ht="15.75">
      <c r="A2" s="667" t="str">
        <f>'[2]Notes'!A2</f>
        <v>PRIME MINISTER’S OFFICE - REGIONAL ADMINISTRATION AND LOCAL GOVERNMENT</v>
      </c>
      <c r="G2" s="712"/>
    </row>
    <row r="3" ht="15.75">
      <c r="A3" s="667"/>
    </row>
    <row r="4" spans="1:7" ht="15.75">
      <c r="A4" s="667"/>
      <c r="G4" s="712"/>
    </row>
    <row r="5" spans="1:9" ht="15.75">
      <c r="A5" s="667" t="str">
        <f>Notes!A5</f>
        <v>NOTES TO THE FINANCIAL STATEMENTS (Continued)</v>
      </c>
      <c r="G5" s="679"/>
      <c r="I5" s="705"/>
    </row>
    <row r="6" spans="1:9" ht="15.75">
      <c r="A6" s="667" t="str">
        <f>Notes!A6</f>
        <v>FOR THE YEAR ENDED 30 JUNE 2016</v>
      </c>
      <c r="G6" s="712"/>
      <c r="I6" s="780"/>
    </row>
    <row r="7" spans="7:23" ht="15.75">
      <c r="G7" s="679"/>
      <c r="S7" s="679"/>
      <c r="U7" s="679"/>
      <c r="W7" s="679"/>
    </row>
    <row r="8" spans="1:4" ht="13.5" customHeight="1">
      <c r="A8" s="713">
        <f>Notes!A268+1</f>
        <v>31</v>
      </c>
      <c r="B8" s="667" t="s">
        <v>882</v>
      </c>
      <c r="C8" s="667"/>
      <c r="D8" s="667"/>
    </row>
    <row r="9" spans="1:26" s="824" customFormat="1" ht="15.75">
      <c r="A9" s="714"/>
      <c r="B9" s="1009"/>
      <c r="C9" s="1010" t="s">
        <v>2064</v>
      </c>
      <c r="D9" s="1010"/>
      <c r="E9" s="1010"/>
      <c r="F9" s="1010"/>
      <c r="G9" s="1010"/>
      <c r="H9" s="1010"/>
      <c r="I9" s="1010"/>
      <c r="J9" s="1010"/>
      <c r="K9" s="1010"/>
      <c r="L9" s="1010"/>
      <c r="M9" s="1010"/>
      <c r="N9" s="715"/>
      <c r="O9" s="1010" t="s">
        <v>2065</v>
      </c>
      <c r="P9" s="1010"/>
      <c r="Q9" s="1010"/>
      <c r="R9" s="1010"/>
      <c r="S9" s="1010"/>
      <c r="T9" s="1010"/>
      <c r="U9" s="1010"/>
      <c r="V9" s="1010"/>
      <c r="W9" s="1010"/>
      <c r="X9" s="715"/>
      <c r="Y9" s="1011" t="s">
        <v>60</v>
      </c>
      <c r="Z9" s="715"/>
    </row>
    <row r="10" spans="2:25" s="825" customFormat="1" ht="15.75">
      <c r="B10" s="1009"/>
      <c r="C10" s="697" t="s">
        <v>59</v>
      </c>
      <c r="D10" s="697"/>
      <c r="I10" s="1012" t="s">
        <v>2410</v>
      </c>
      <c r="M10" s="825" t="s">
        <v>1784</v>
      </c>
      <c r="O10" s="825" t="s">
        <v>1784</v>
      </c>
      <c r="Q10" s="825" t="s">
        <v>745</v>
      </c>
      <c r="S10" s="825" t="s">
        <v>63</v>
      </c>
      <c r="U10" s="1014" t="s">
        <v>2425</v>
      </c>
      <c r="W10" s="697" t="s">
        <v>1784</v>
      </c>
      <c r="Y10" s="1011"/>
    </row>
    <row r="11" spans="3:25" s="825" customFormat="1" ht="32.25" customHeight="1">
      <c r="C11" s="716" t="s">
        <v>61</v>
      </c>
      <c r="D11" s="697"/>
      <c r="E11" s="717" t="s">
        <v>1263</v>
      </c>
      <c r="G11" s="717" t="s">
        <v>241</v>
      </c>
      <c r="I11" s="1013"/>
      <c r="K11" s="717" t="s">
        <v>1264</v>
      </c>
      <c r="M11" s="718" t="s">
        <v>62</v>
      </c>
      <c r="O11" s="718" t="s">
        <v>61</v>
      </c>
      <c r="Q11" s="695" t="s">
        <v>744</v>
      </c>
      <c r="R11" s="697"/>
      <c r="S11" s="695" t="s">
        <v>64</v>
      </c>
      <c r="T11" s="697"/>
      <c r="U11" s="1015"/>
      <c r="W11" s="716" t="s">
        <v>62</v>
      </c>
      <c r="Y11" s="718" t="s">
        <v>62</v>
      </c>
    </row>
    <row r="12" spans="1:26" s="694" customFormat="1" ht="15.75">
      <c r="A12" s="701"/>
      <c r="B12" s="719">
        <v>2016</v>
      </c>
      <c r="C12" s="748"/>
      <c r="D12" s="720"/>
      <c r="E12" s="721"/>
      <c r="F12" s="721"/>
      <c r="G12" s="721"/>
      <c r="H12" s="721"/>
      <c r="I12" s="721"/>
      <c r="J12" s="721"/>
      <c r="K12" s="721"/>
      <c r="L12" s="721"/>
      <c r="M12" s="721"/>
      <c r="N12" s="721"/>
      <c r="O12" s="721"/>
      <c r="P12" s="721"/>
      <c r="Q12" s="721"/>
      <c r="R12" s="721"/>
      <c r="S12" s="721"/>
      <c r="T12" s="721"/>
      <c r="U12" s="721"/>
      <c r="V12" s="721"/>
      <c r="W12" s="721"/>
      <c r="X12" s="721"/>
      <c r="Y12" s="721"/>
      <c r="Z12" s="721"/>
    </row>
    <row r="13" spans="1:26" s="694" customFormat="1" ht="15.75">
      <c r="A13" s="701"/>
      <c r="B13" s="722" t="s">
        <v>747</v>
      </c>
      <c r="C13" s="720"/>
      <c r="D13" s="720"/>
      <c r="E13" s="721"/>
      <c r="F13" s="721"/>
      <c r="G13" s="721"/>
      <c r="H13" s="721"/>
      <c r="I13" s="721"/>
      <c r="J13" s="721"/>
      <c r="K13" s="721"/>
      <c r="L13" s="721"/>
      <c r="M13" s="721"/>
      <c r="N13" s="721"/>
      <c r="O13" s="721"/>
      <c r="P13" s="721"/>
      <c r="Q13" s="721"/>
      <c r="R13" s="721"/>
      <c r="S13" s="721"/>
      <c r="T13" s="721"/>
      <c r="U13" s="721"/>
      <c r="V13" s="721"/>
      <c r="W13" s="721"/>
      <c r="X13" s="721"/>
      <c r="Y13" s="721"/>
      <c r="Z13" s="721"/>
    </row>
    <row r="14" spans="1:26" s="694" customFormat="1" ht="15.75">
      <c r="A14" s="701"/>
      <c r="B14" s="849" t="s">
        <v>1265</v>
      </c>
      <c r="C14" s="729">
        <v>0</v>
      </c>
      <c r="D14" s="748"/>
      <c r="E14" s="958">
        <f>3538000000/1000</f>
        <v>3538000</v>
      </c>
      <c r="F14" s="729"/>
      <c r="G14" s="729">
        <v>0</v>
      </c>
      <c r="H14" s="729"/>
      <c r="I14" s="723">
        <v>0</v>
      </c>
      <c r="J14" s="729"/>
      <c r="K14" s="729"/>
      <c r="L14" s="729"/>
      <c r="M14" s="723">
        <f>SUM(D14:K14)</f>
        <v>3538000</v>
      </c>
      <c r="N14" s="721"/>
      <c r="O14" s="729">
        <v>0</v>
      </c>
      <c r="P14" s="729"/>
      <c r="Q14" s="729">
        <v>0</v>
      </c>
      <c r="R14" s="729"/>
      <c r="S14" s="729"/>
      <c r="T14" s="729"/>
      <c r="U14" s="729">
        <f>O14</f>
        <v>0</v>
      </c>
      <c r="V14" s="729"/>
      <c r="W14" s="729"/>
      <c r="X14" s="729"/>
      <c r="Y14" s="723">
        <f aca="true" t="shared" si="0" ref="Y14:Y19">M14-W14</f>
        <v>3538000</v>
      </c>
      <c r="Z14" s="721"/>
    </row>
    <row r="15" spans="1:28" s="694" customFormat="1" ht="15.75">
      <c r="A15" s="701"/>
      <c r="B15" s="694" t="s">
        <v>1266</v>
      </c>
      <c r="C15" s="723">
        <f>M31</f>
        <v>10485501.12837</v>
      </c>
      <c r="D15" s="723"/>
      <c r="E15" s="723">
        <v>199505</v>
      </c>
      <c r="F15" s="723"/>
      <c r="G15" s="723">
        <f>C19</f>
        <v>0</v>
      </c>
      <c r="H15" s="723"/>
      <c r="I15" s="723"/>
      <c r="J15" s="723"/>
      <c r="K15" s="723"/>
      <c r="L15" s="723"/>
      <c r="M15" s="723">
        <f>SUM(C15:K15)</f>
        <v>10685006.12837</v>
      </c>
      <c r="N15" s="723"/>
      <c r="O15" s="723">
        <f>W31</f>
        <v>3154725.4901072006</v>
      </c>
      <c r="P15" s="723"/>
      <c r="Q15" s="723">
        <f>M15*0.04</f>
        <v>427400.24513480003</v>
      </c>
      <c r="R15" s="721"/>
      <c r="S15" s="721"/>
      <c r="T15" s="721"/>
      <c r="U15" s="723"/>
      <c r="V15" s="721"/>
      <c r="W15" s="723">
        <f aca="true" t="shared" si="1" ref="W15:W20">SUM(O15:U15)</f>
        <v>3582125.735242001</v>
      </c>
      <c r="X15" s="723"/>
      <c r="Y15" s="723">
        <f t="shared" si="0"/>
        <v>7102880.393127999</v>
      </c>
      <c r="Z15" s="721"/>
      <c r="AB15" s="729"/>
    </row>
    <row r="16" spans="1:28" s="694" customFormat="1" ht="15.75">
      <c r="A16" s="701"/>
      <c r="B16" s="694" t="s">
        <v>7</v>
      </c>
      <c r="C16" s="723">
        <f>M32</f>
        <v>232296.59999999998</v>
      </c>
      <c r="D16" s="723"/>
      <c r="E16" s="723"/>
      <c r="F16" s="723"/>
      <c r="G16" s="723">
        <v>0</v>
      </c>
      <c r="H16" s="723"/>
      <c r="I16" s="723"/>
      <c r="J16" s="723"/>
      <c r="K16" s="723"/>
      <c r="L16" s="723"/>
      <c r="M16" s="723">
        <f>SUM(C16:K16)</f>
        <v>232296.59999999998</v>
      </c>
      <c r="N16" s="723"/>
      <c r="O16" s="723">
        <f>W32</f>
        <v>203120.64</v>
      </c>
      <c r="P16" s="723"/>
      <c r="Q16" s="723">
        <f>M16*0.1</f>
        <v>23229.66</v>
      </c>
      <c r="R16" s="721"/>
      <c r="S16" s="721"/>
      <c r="T16" s="721"/>
      <c r="U16" s="723"/>
      <c r="V16" s="721"/>
      <c r="W16" s="723">
        <f t="shared" si="1"/>
        <v>226350.30000000002</v>
      </c>
      <c r="X16" s="723"/>
      <c r="Y16" s="723">
        <f t="shared" si="0"/>
        <v>5946.299999999959</v>
      </c>
      <c r="Z16" s="721"/>
      <c r="AB16" s="729"/>
    </row>
    <row r="17" spans="1:28" s="694" customFormat="1" ht="15.75">
      <c r="A17" s="701"/>
      <c r="B17" s="694" t="s">
        <v>941</v>
      </c>
      <c r="C17" s="723">
        <f>M33</f>
        <v>901919.665</v>
      </c>
      <c r="D17" s="723"/>
      <c r="E17" s="723"/>
      <c r="F17" s="723"/>
      <c r="G17" s="723">
        <v>0</v>
      </c>
      <c r="H17" s="723"/>
      <c r="I17" s="723"/>
      <c r="J17" s="723"/>
      <c r="K17" s="723"/>
      <c r="L17" s="723"/>
      <c r="M17" s="723">
        <f>SUM(C17:K17)</f>
        <v>901919.665</v>
      </c>
      <c r="N17" s="723"/>
      <c r="O17" s="723">
        <f>W33</f>
        <v>731652.3265</v>
      </c>
      <c r="P17" s="723"/>
      <c r="Q17" s="723">
        <f>0.1*M17</f>
        <v>90191.96650000001</v>
      </c>
      <c r="R17" s="721"/>
      <c r="S17" s="721"/>
      <c r="T17" s="721"/>
      <c r="U17" s="723"/>
      <c r="V17" s="721"/>
      <c r="W17" s="723">
        <f t="shared" si="1"/>
        <v>821844.293</v>
      </c>
      <c r="X17" s="723"/>
      <c r="Y17" s="723">
        <f t="shared" si="0"/>
        <v>80075.37200000009</v>
      </c>
      <c r="Z17" s="721"/>
      <c r="AB17" s="729"/>
    </row>
    <row r="18" spans="1:26" s="694" customFormat="1" ht="15.75">
      <c r="A18" s="701"/>
      <c r="B18" s="694" t="s">
        <v>8</v>
      </c>
      <c r="C18" s="723">
        <f>M34</f>
        <v>1041828.5</v>
      </c>
      <c r="D18" s="723"/>
      <c r="E18" s="723"/>
      <c r="F18" s="723"/>
      <c r="G18" s="723">
        <v>0</v>
      </c>
      <c r="H18" s="723"/>
      <c r="I18" s="723"/>
      <c r="J18" s="723"/>
      <c r="K18" s="723"/>
      <c r="L18" s="723"/>
      <c r="M18" s="723">
        <f>SUM(C18:K18)</f>
        <v>1041828.5</v>
      </c>
      <c r="N18" s="723"/>
      <c r="O18" s="723">
        <f>W34</f>
        <v>1036770.75</v>
      </c>
      <c r="P18" s="723"/>
      <c r="Q18" s="723">
        <f>0.25*M18</f>
        <v>260457.125</v>
      </c>
      <c r="R18" s="721"/>
      <c r="S18" s="721"/>
      <c r="T18" s="721"/>
      <c r="U18" s="723"/>
      <c r="V18" s="721"/>
      <c r="W18" s="723">
        <f t="shared" si="1"/>
        <v>1297227.875</v>
      </c>
      <c r="X18" s="723"/>
      <c r="Y18" s="723">
        <f t="shared" si="0"/>
        <v>-255399.375</v>
      </c>
      <c r="Z18" s="721"/>
    </row>
    <row r="19" spans="1:26" s="694" customFormat="1" ht="15.75">
      <c r="A19" s="701"/>
      <c r="B19" s="694" t="s">
        <v>1117</v>
      </c>
      <c r="C19" s="723">
        <v>0</v>
      </c>
      <c r="D19" s="723"/>
      <c r="E19" s="723">
        <v>0</v>
      </c>
      <c r="F19" s="723"/>
      <c r="G19" s="723">
        <f>-C19</f>
        <v>0</v>
      </c>
      <c r="H19" s="723"/>
      <c r="I19" s="723"/>
      <c r="J19" s="723"/>
      <c r="K19" s="723"/>
      <c r="L19" s="723"/>
      <c r="M19" s="723">
        <f>SUM(C19:K19)</f>
        <v>0</v>
      </c>
      <c r="N19" s="723"/>
      <c r="O19" s="723">
        <v>0</v>
      </c>
      <c r="P19" s="723"/>
      <c r="Q19" s="723"/>
      <c r="R19" s="721"/>
      <c r="S19" s="721"/>
      <c r="T19" s="721"/>
      <c r="U19" s="723"/>
      <c r="V19" s="721"/>
      <c r="W19" s="723">
        <f t="shared" si="1"/>
        <v>0</v>
      </c>
      <c r="X19" s="723"/>
      <c r="Y19" s="723">
        <f t="shared" si="0"/>
        <v>0</v>
      </c>
      <c r="Z19" s="721"/>
    </row>
    <row r="20" spans="1:26" s="690" customFormat="1" ht="15.75">
      <c r="A20" s="715"/>
      <c r="B20" s="724"/>
      <c r="C20" s="688">
        <f>SUM(C14:C19)</f>
        <v>12661545.893369999</v>
      </c>
      <c r="D20" s="688">
        <f>SUM(D15:D19)</f>
        <v>0</v>
      </c>
      <c r="E20" s="688">
        <f>SUM(E14:E19)</f>
        <v>3737505</v>
      </c>
      <c r="F20" s="725"/>
      <c r="G20" s="688">
        <f>SUM(G15:G19)</f>
        <v>0</v>
      </c>
      <c r="H20" s="725"/>
      <c r="I20" s="688">
        <f>SUM(I14:I19)</f>
        <v>0</v>
      </c>
      <c r="J20" s="725"/>
      <c r="K20" s="688">
        <f>SUM(K15:K19)</f>
        <v>0</v>
      </c>
      <c r="L20" s="725"/>
      <c r="M20" s="688">
        <f>SUM(M14:M19)</f>
        <v>16399050.893369999</v>
      </c>
      <c r="N20" s="726"/>
      <c r="O20" s="688">
        <f>SUM(O15:O19)</f>
        <v>5126269.2066072</v>
      </c>
      <c r="P20" s="725"/>
      <c r="Q20" s="688">
        <f>SUM(Q15:Q19)</f>
        <v>801278.9966348</v>
      </c>
      <c r="R20" s="726"/>
      <c r="S20" s="688">
        <f>SUM(S15:S19)</f>
        <v>0</v>
      </c>
      <c r="T20" s="725"/>
      <c r="U20" s="688">
        <f>SUM(U15:U19)</f>
        <v>0</v>
      </c>
      <c r="V20" s="725"/>
      <c r="W20" s="688">
        <f t="shared" si="1"/>
        <v>5927548.203242</v>
      </c>
      <c r="X20" s="726"/>
      <c r="Y20" s="688">
        <f>SUM(Y14:Y19)</f>
        <v>10471502.690128</v>
      </c>
      <c r="Z20" s="726"/>
    </row>
    <row r="21" spans="1:26" s="694" customFormat="1" ht="15.75">
      <c r="A21" s="701"/>
      <c r="B21" s="727" t="s">
        <v>11</v>
      </c>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row>
    <row r="22" spans="1:27" s="694" customFormat="1" ht="15.75">
      <c r="A22" s="701"/>
      <c r="B22" s="694" t="s">
        <v>1269</v>
      </c>
      <c r="C22" s="723">
        <f>M38</f>
        <v>4077846.7678300003</v>
      </c>
      <c r="D22" s="721"/>
      <c r="E22" s="723"/>
      <c r="F22" s="723"/>
      <c r="G22" s="723"/>
      <c r="H22" s="723"/>
      <c r="I22" s="723"/>
      <c r="J22" s="723"/>
      <c r="K22" s="723"/>
      <c r="L22" s="723"/>
      <c r="M22" s="723">
        <f>SUM(C22:K22)</f>
        <v>4077846.7678300003</v>
      </c>
      <c r="N22" s="721"/>
      <c r="O22" s="723">
        <f>W38</f>
        <v>750887.6264146667</v>
      </c>
      <c r="P22" s="721"/>
      <c r="Q22" s="826">
        <f>0.0667*M22</f>
        <v>271992.37941426097</v>
      </c>
      <c r="R22" s="721"/>
      <c r="S22" s="721"/>
      <c r="T22" s="721"/>
      <c r="U22" s="723"/>
      <c r="V22" s="721"/>
      <c r="W22" s="723">
        <f>SUM(O22:U22)</f>
        <v>1022880.0058289276</v>
      </c>
      <c r="X22" s="723"/>
      <c r="Y22" s="723">
        <f>M22-W22</f>
        <v>3054966.7620010725</v>
      </c>
      <c r="Z22" s="721"/>
      <c r="AA22" s="787"/>
    </row>
    <row r="23" spans="1:26" s="694" customFormat="1" ht="16.5">
      <c r="A23" s="701"/>
      <c r="B23" s="694" t="s">
        <v>1271</v>
      </c>
      <c r="C23" s="723">
        <f>M39</f>
        <v>1873223.47541</v>
      </c>
      <c r="D23" s="721"/>
      <c r="E23" s="671">
        <f>409082.9991+786434</f>
        <v>1195516.9991000001</v>
      </c>
      <c r="F23" s="723"/>
      <c r="G23" s="723">
        <f>C24+E24</f>
        <v>2265389.54647</v>
      </c>
      <c r="H23" s="723"/>
      <c r="I23" s="723"/>
      <c r="J23" s="723"/>
      <c r="K23" s="723"/>
      <c r="L23" s="723"/>
      <c r="M23" s="723">
        <f>SUM(C23:K23)</f>
        <v>5334130.0209800005</v>
      </c>
      <c r="N23" s="721"/>
      <c r="O23" s="723">
        <f>W39</f>
        <v>1830317.8302799999</v>
      </c>
      <c r="P23" s="721"/>
      <c r="Q23" s="826">
        <f>0.25*M23</f>
        <v>1333532.5052450001</v>
      </c>
      <c r="R23" s="721"/>
      <c r="S23" s="721"/>
      <c r="T23" s="721"/>
      <c r="U23" s="993"/>
      <c r="V23" s="721"/>
      <c r="W23" s="723">
        <f>SUM(O23:U23)</f>
        <v>3163850.335525</v>
      </c>
      <c r="X23" s="723"/>
      <c r="Y23" s="723">
        <f>M23-W23</f>
        <v>2170279.6854550005</v>
      </c>
      <c r="Z23" s="721"/>
    </row>
    <row r="24" spans="1:26" s="694" customFormat="1" ht="15.75">
      <c r="A24" s="701"/>
      <c r="B24" s="694" t="s">
        <v>1117</v>
      </c>
      <c r="C24" s="723">
        <v>1970167.6168999998</v>
      </c>
      <c r="D24" s="721"/>
      <c r="E24" s="723">
        <v>295221.92957</v>
      </c>
      <c r="F24" s="723"/>
      <c r="G24" s="723">
        <f>-G23</f>
        <v>-2265389.54647</v>
      </c>
      <c r="H24" s="723"/>
      <c r="I24" s="723"/>
      <c r="J24" s="723"/>
      <c r="K24" s="723"/>
      <c r="L24" s="723"/>
      <c r="M24" s="746">
        <f>SUM(C24:K24)</f>
        <v>0</v>
      </c>
      <c r="N24" s="721"/>
      <c r="O24" s="723"/>
      <c r="P24" s="723"/>
      <c r="Q24" s="723"/>
      <c r="R24" s="723"/>
      <c r="S24" s="723"/>
      <c r="T24" s="723"/>
      <c r="U24" s="723"/>
      <c r="V24" s="721"/>
      <c r="W24" s="723">
        <f>SUM(O24:U24)</f>
        <v>0</v>
      </c>
      <c r="X24" s="723"/>
      <c r="Y24" s="723">
        <f>M24-W24</f>
        <v>0</v>
      </c>
      <c r="Z24" s="721"/>
    </row>
    <row r="25" spans="1:26" s="690" customFormat="1" ht="15.75">
      <c r="A25" s="715"/>
      <c r="B25" s="784"/>
      <c r="C25" s="688">
        <f>SUM(C22:C24)</f>
        <v>7921237.8601400005</v>
      </c>
      <c r="D25" s="725"/>
      <c r="E25" s="688">
        <f>SUM(E22:E24)</f>
        <v>1490738.92867</v>
      </c>
      <c r="F25" s="725"/>
      <c r="G25" s="688">
        <f>SUM(G22:G24)</f>
        <v>0</v>
      </c>
      <c r="H25" s="725"/>
      <c r="I25" s="688">
        <f>SUM(I22:I24)</f>
        <v>0</v>
      </c>
      <c r="J25" s="725"/>
      <c r="K25" s="688">
        <f>SUM(K22:K24)</f>
        <v>0</v>
      </c>
      <c r="L25" s="725"/>
      <c r="M25" s="747">
        <f>SUM(M22:M24)</f>
        <v>9411976.78881</v>
      </c>
      <c r="N25" s="726"/>
      <c r="O25" s="688">
        <f>SUM(O22:O24)</f>
        <v>2581205.4566946663</v>
      </c>
      <c r="P25" s="725"/>
      <c r="Q25" s="688">
        <f>SUM(Q22:Q24)</f>
        <v>1605524.884659261</v>
      </c>
      <c r="R25" s="725"/>
      <c r="S25" s="688">
        <f>SUM(S22:S24)</f>
        <v>0</v>
      </c>
      <c r="T25" s="725"/>
      <c r="U25" s="688">
        <f>SUM(U22:U24)</f>
        <v>0</v>
      </c>
      <c r="V25" s="726"/>
      <c r="W25" s="688">
        <f>SUM(O25:U25)</f>
        <v>4186730.3413539273</v>
      </c>
      <c r="X25" s="725"/>
      <c r="Y25" s="688">
        <f>M25-W25</f>
        <v>5225246.447456073</v>
      </c>
      <c r="Z25" s="726"/>
    </row>
    <row r="26" spans="1:26" s="690" customFormat="1" ht="12.75" customHeight="1">
      <c r="A26" s="715"/>
      <c r="B26" s="724"/>
      <c r="C26" s="725"/>
      <c r="D26" s="725"/>
      <c r="E26" s="725"/>
      <c r="F26" s="725"/>
      <c r="G26" s="725"/>
      <c r="H26" s="725"/>
      <c r="I26" s="725"/>
      <c r="J26" s="725"/>
      <c r="K26" s="725"/>
      <c r="L26" s="725"/>
      <c r="M26" s="725"/>
      <c r="N26" s="726"/>
      <c r="O26" s="725"/>
      <c r="P26" s="725"/>
      <c r="Q26" s="725"/>
      <c r="R26" s="725"/>
      <c r="S26" s="725"/>
      <c r="T26" s="725"/>
      <c r="U26" s="725"/>
      <c r="V26" s="725"/>
      <c r="W26" s="723"/>
      <c r="X26" s="725"/>
      <c r="Y26" s="725"/>
      <c r="Z26" s="726"/>
    </row>
    <row r="27" spans="1:26" s="690" customFormat="1" ht="16.5" thickBot="1">
      <c r="A27" s="715"/>
      <c r="B27" s="690" t="s">
        <v>943</v>
      </c>
      <c r="C27" s="728">
        <f>C20+C25</f>
        <v>20582783.75351</v>
      </c>
      <c r="D27" s="725"/>
      <c r="E27" s="728">
        <f>E20+E25</f>
        <v>5228243.92867</v>
      </c>
      <c r="F27" s="725"/>
      <c r="G27" s="728">
        <f>G20+G25</f>
        <v>0</v>
      </c>
      <c r="H27" s="725"/>
      <c r="I27" s="728">
        <f>I20+I25</f>
        <v>0</v>
      </c>
      <c r="J27" s="725"/>
      <c r="K27" s="728">
        <f>K20+K25</f>
        <v>0</v>
      </c>
      <c r="L27" s="725"/>
      <c r="M27" s="728">
        <f>M20+M25</f>
        <v>25811027.68218</v>
      </c>
      <c r="N27" s="726"/>
      <c r="O27" s="728">
        <f>O20+O25</f>
        <v>7707474.6633018665</v>
      </c>
      <c r="P27" s="725"/>
      <c r="Q27" s="728">
        <f>Q20+Q25</f>
        <v>2406803.881294061</v>
      </c>
      <c r="R27" s="725"/>
      <c r="S27" s="728">
        <f>S20+S25</f>
        <v>0</v>
      </c>
      <c r="T27" s="725"/>
      <c r="U27" s="728">
        <f>U20+U25</f>
        <v>0</v>
      </c>
      <c r="V27" s="725"/>
      <c r="W27" s="728">
        <f>W20+W25</f>
        <v>10114278.544595927</v>
      </c>
      <c r="X27" s="725"/>
      <c r="Y27" s="728">
        <f>Y20+Y25</f>
        <v>15696749.137584073</v>
      </c>
      <c r="Z27" s="726"/>
    </row>
    <row r="28" spans="1:26" s="694" customFormat="1" ht="16.5" thickTop="1">
      <c r="A28" s="701"/>
      <c r="C28" s="721"/>
      <c r="D28" s="721"/>
      <c r="E28" s="721"/>
      <c r="F28" s="721"/>
      <c r="G28" s="721"/>
      <c r="H28" s="721"/>
      <c r="I28" s="721"/>
      <c r="J28" s="721"/>
      <c r="K28" s="721"/>
      <c r="L28" s="721"/>
      <c r="M28" s="721"/>
      <c r="N28" s="721"/>
      <c r="O28" s="721"/>
      <c r="P28" s="721"/>
      <c r="Q28" s="729"/>
      <c r="R28" s="721"/>
      <c r="S28" s="721"/>
      <c r="T28" s="721"/>
      <c r="U28" s="721"/>
      <c r="V28" s="721"/>
      <c r="W28" s="729"/>
      <c r="X28" s="721"/>
      <c r="Y28" s="721"/>
      <c r="Z28" s="721"/>
    </row>
    <row r="29" spans="1:26" s="694" customFormat="1" ht="15.75">
      <c r="A29" s="701"/>
      <c r="B29" s="719">
        <v>2015</v>
      </c>
      <c r="C29" s="729"/>
      <c r="D29" s="721"/>
      <c r="E29" s="729"/>
      <c r="F29" s="721"/>
      <c r="G29" s="721"/>
      <c r="H29" s="721"/>
      <c r="I29" s="729"/>
      <c r="J29" s="721"/>
      <c r="K29" s="721"/>
      <c r="L29" s="721"/>
      <c r="M29" s="670"/>
      <c r="N29" s="721"/>
      <c r="O29" s="721"/>
      <c r="P29" s="721"/>
      <c r="Q29" s="721"/>
      <c r="R29" s="721"/>
      <c r="S29" s="721"/>
      <c r="T29" s="721"/>
      <c r="U29" s="721"/>
      <c r="V29" s="721"/>
      <c r="W29" s="721"/>
      <c r="X29" s="721"/>
      <c r="Y29" s="723"/>
      <c r="Z29" s="721"/>
    </row>
    <row r="30" spans="1:26" s="694" customFormat="1" ht="15.75">
      <c r="A30" s="701"/>
      <c r="B30" s="722" t="s">
        <v>747</v>
      </c>
      <c r="C30" s="748"/>
      <c r="D30" s="720"/>
      <c r="E30" s="721"/>
      <c r="F30" s="721"/>
      <c r="G30" s="721"/>
      <c r="H30" s="721"/>
      <c r="I30" s="729"/>
      <c r="J30" s="721"/>
      <c r="K30" s="721"/>
      <c r="L30" s="721"/>
      <c r="M30" s="721"/>
      <c r="N30" s="721"/>
      <c r="O30" s="721"/>
      <c r="P30" s="721"/>
      <c r="Q30" s="721"/>
      <c r="R30" s="721"/>
      <c r="S30" s="721"/>
      <c r="T30" s="721"/>
      <c r="U30" s="721"/>
      <c r="V30" s="721"/>
      <c r="W30" s="721"/>
      <c r="X30" s="721"/>
      <c r="Y30" s="729"/>
      <c r="Z30" s="721"/>
    </row>
    <row r="31" spans="1:26" s="694" customFormat="1" ht="15.75">
      <c r="A31" s="701"/>
      <c r="B31" s="694" t="s">
        <v>1266</v>
      </c>
      <c r="C31" s="723">
        <v>9586997.27187</v>
      </c>
      <c r="D31" s="723"/>
      <c r="E31" s="723">
        <v>730777.507</v>
      </c>
      <c r="F31" s="721"/>
      <c r="G31" s="723">
        <v>167726.34949999995</v>
      </c>
      <c r="H31" s="723"/>
      <c r="I31" s="723"/>
      <c r="J31" s="723"/>
      <c r="K31" s="723">
        <v>0</v>
      </c>
      <c r="L31" s="723"/>
      <c r="M31" s="723">
        <f>SUM(C31:K31)</f>
        <v>10485501.12837</v>
      </c>
      <c r="N31" s="723"/>
      <c r="O31" s="723">
        <v>2735305.4449724006</v>
      </c>
      <c r="P31" s="721"/>
      <c r="Q31" s="723">
        <v>419420.0451348</v>
      </c>
      <c r="R31" s="721"/>
      <c r="S31" s="729"/>
      <c r="T31" s="721"/>
      <c r="U31" s="721"/>
      <c r="V31" s="721"/>
      <c r="W31" s="723">
        <f>SUM(O31:U31)</f>
        <v>3154725.4901072006</v>
      </c>
      <c r="X31" s="721"/>
      <c r="Y31" s="723">
        <f>M31-W31</f>
        <v>7330775.638262799</v>
      </c>
      <c r="Z31" s="721"/>
    </row>
    <row r="32" spans="1:26" s="694" customFormat="1" ht="15.75">
      <c r="A32" s="701"/>
      <c r="B32" s="694" t="s">
        <v>7</v>
      </c>
      <c r="C32" s="723">
        <v>183796.59999999998</v>
      </c>
      <c r="D32" s="723"/>
      <c r="E32" s="723">
        <v>48500</v>
      </c>
      <c r="F32" s="721"/>
      <c r="G32" s="723"/>
      <c r="H32" s="723"/>
      <c r="I32" s="723"/>
      <c r="J32" s="723"/>
      <c r="K32" s="723">
        <v>0</v>
      </c>
      <c r="L32" s="723"/>
      <c r="M32" s="723">
        <f>SUM(C32:K32)</f>
        <v>232296.59999999998</v>
      </c>
      <c r="N32" s="723"/>
      <c r="O32" s="723">
        <v>179890.98</v>
      </c>
      <c r="P32" s="721"/>
      <c r="Q32" s="723">
        <v>23229.66</v>
      </c>
      <c r="R32" s="721"/>
      <c r="S32" s="721"/>
      <c r="T32" s="721"/>
      <c r="U32" s="723"/>
      <c r="V32" s="721"/>
      <c r="W32" s="723">
        <f>SUM(O32:U32)</f>
        <v>203120.64</v>
      </c>
      <c r="X32" s="721"/>
      <c r="Y32" s="723">
        <f>M32-W32</f>
        <v>29175.959999999963</v>
      </c>
      <c r="Z32" s="721"/>
    </row>
    <row r="33" spans="1:26" s="694" customFormat="1" ht="15.75">
      <c r="A33" s="701"/>
      <c r="B33" s="694" t="s">
        <v>2414</v>
      </c>
      <c r="C33" s="723">
        <v>832091.3</v>
      </c>
      <c r="D33" s="723"/>
      <c r="E33" s="723">
        <v>69828.365</v>
      </c>
      <c r="F33" s="721"/>
      <c r="G33" s="723"/>
      <c r="H33" s="723"/>
      <c r="I33" s="723"/>
      <c r="J33" s="723"/>
      <c r="K33" s="723">
        <v>0</v>
      </c>
      <c r="L33" s="723"/>
      <c r="M33" s="723">
        <f>SUM(C33:K33)</f>
        <v>901919.665</v>
      </c>
      <c r="N33" s="723"/>
      <c r="O33" s="723">
        <v>641460.36</v>
      </c>
      <c r="P33" s="721"/>
      <c r="Q33" s="723">
        <v>90191.96650000001</v>
      </c>
      <c r="R33" s="721"/>
      <c r="S33" s="721"/>
      <c r="T33" s="721"/>
      <c r="U33" s="723">
        <v>0</v>
      </c>
      <c r="V33" s="721"/>
      <c r="W33" s="723">
        <f>SUM(O33:U33)</f>
        <v>731652.3265</v>
      </c>
      <c r="X33" s="721"/>
      <c r="Y33" s="723">
        <f>M33-W33</f>
        <v>170267.33850000007</v>
      </c>
      <c r="Z33" s="721"/>
    </row>
    <row r="34" spans="1:26" s="694" customFormat="1" ht="15.75">
      <c r="A34" s="701"/>
      <c r="B34" s="694" t="s">
        <v>8</v>
      </c>
      <c r="C34" s="723">
        <v>938926.5</v>
      </c>
      <c r="D34" s="723"/>
      <c r="E34" s="723">
        <v>102902</v>
      </c>
      <c r="F34" s="721"/>
      <c r="G34" s="723"/>
      <c r="H34" s="723"/>
      <c r="I34" s="723"/>
      <c r="J34" s="723"/>
      <c r="K34" s="723">
        <v>0</v>
      </c>
      <c r="L34" s="723"/>
      <c r="M34" s="723">
        <f>SUM(C34:K34)</f>
        <v>1041828.5</v>
      </c>
      <c r="N34" s="723"/>
      <c r="O34" s="723">
        <v>932587.9</v>
      </c>
      <c r="P34" s="721"/>
      <c r="Q34" s="723">
        <v>104182.85</v>
      </c>
      <c r="R34" s="721"/>
      <c r="S34" s="721"/>
      <c r="T34" s="721"/>
      <c r="U34" s="723"/>
      <c r="V34" s="721"/>
      <c r="W34" s="723">
        <f>SUM(O34:U34)</f>
        <v>1036770.75</v>
      </c>
      <c r="X34" s="721"/>
      <c r="Y34" s="723">
        <f>M34-W34</f>
        <v>5057.75</v>
      </c>
      <c r="Z34" s="721"/>
    </row>
    <row r="35" spans="1:26" s="694" customFormat="1" ht="15.75">
      <c r="A35" s="701"/>
      <c r="B35" s="694" t="s">
        <v>1117</v>
      </c>
      <c r="C35" s="723">
        <v>167726.34949999995</v>
      </c>
      <c r="D35" s="723"/>
      <c r="E35" s="723">
        <v>0</v>
      </c>
      <c r="F35" s="721"/>
      <c r="G35" s="723">
        <v>-167726.34949999995</v>
      </c>
      <c r="H35" s="723"/>
      <c r="I35" s="723"/>
      <c r="J35" s="723"/>
      <c r="K35" s="723">
        <v>0</v>
      </c>
      <c r="L35" s="723"/>
      <c r="M35" s="723">
        <f>SUM(C35:K35)</f>
        <v>0</v>
      </c>
      <c r="N35" s="723"/>
      <c r="O35" s="723">
        <v>0</v>
      </c>
      <c r="P35" s="721"/>
      <c r="Q35" s="723"/>
      <c r="R35" s="721"/>
      <c r="S35" s="721"/>
      <c r="T35" s="721"/>
      <c r="U35" s="721"/>
      <c r="V35" s="721"/>
      <c r="W35" s="723">
        <f>SUM(O35:U35)</f>
        <v>0</v>
      </c>
      <c r="X35" s="721"/>
      <c r="Y35" s="723">
        <f>M35-W35</f>
        <v>0</v>
      </c>
      <c r="Z35" s="721"/>
    </row>
    <row r="36" spans="1:26" s="694" customFormat="1" ht="15.75">
      <c r="A36" s="701"/>
      <c r="C36" s="730">
        <f>SUM(C31:C35)</f>
        <v>11709538.021370001</v>
      </c>
      <c r="D36" s="723">
        <f aca="true" t="shared" si="2" ref="D36:X36">SUM(D31:D34)</f>
        <v>0</v>
      </c>
      <c r="E36" s="730">
        <f>SUM(E31:E35)</f>
        <v>952007.872</v>
      </c>
      <c r="F36" s="723">
        <f t="shared" si="2"/>
        <v>0</v>
      </c>
      <c r="G36" s="730">
        <f>SUM(G31:G35)</f>
        <v>0</v>
      </c>
      <c r="H36" s="723">
        <f t="shared" si="2"/>
        <v>0</v>
      </c>
      <c r="I36" s="730">
        <f t="shared" si="2"/>
        <v>0</v>
      </c>
      <c r="J36" s="723">
        <f t="shared" si="2"/>
        <v>0</v>
      </c>
      <c r="K36" s="730">
        <f t="shared" si="2"/>
        <v>0</v>
      </c>
      <c r="L36" s="723">
        <f t="shared" si="2"/>
        <v>0</v>
      </c>
      <c r="M36" s="730">
        <f>SUM(M31:M35)</f>
        <v>12661545.893369999</v>
      </c>
      <c r="N36" s="730">
        <f t="shared" si="2"/>
        <v>0</v>
      </c>
      <c r="O36" s="730">
        <f>SUM(O31:O34)</f>
        <v>4489244.684972401</v>
      </c>
      <c r="P36" s="723">
        <f t="shared" si="2"/>
        <v>0</v>
      </c>
      <c r="Q36" s="730">
        <f t="shared" si="2"/>
        <v>637024.5216348</v>
      </c>
      <c r="R36" s="723">
        <f t="shared" si="2"/>
        <v>0</v>
      </c>
      <c r="S36" s="730">
        <f t="shared" si="2"/>
        <v>0</v>
      </c>
      <c r="T36" s="723">
        <f t="shared" si="2"/>
        <v>0</v>
      </c>
      <c r="U36" s="730">
        <f t="shared" si="2"/>
        <v>0</v>
      </c>
      <c r="V36" s="723">
        <f t="shared" si="2"/>
        <v>0</v>
      </c>
      <c r="W36" s="730">
        <f>SUM(W31:W34)</f>
        <v>5126269.2066072</v>
      </c>
      <c r="X36" s="723">
        <f t="shared" si="2"/>
        <v>0</v>
      </c>
      <c r="Y36" s="730">
        <f>SUM(Y31:Y35)</f>
        <v>7535276.686762799</v>
      </c>
      <c r="Z36" s="721"/>
    </row>
    <row r="37" spans="1:26" s="694" customFormat="1" ht="15.75">
      <c r="A37" s="701"/>
      <c r="B37" s="727" t="s">
        <v>11</v>
      </c>
      <c r="C37" s="723"/>
      <c r="D37" s="723"/>
      <c r="E37" s="723"/>
      <c r="F37" s="721"/>
      <c r="G37" s="723"/>
      <c r="H37" s="723"/>
      <c r="I37" s="723"/>
      <c r="J37" s="723"/>
      <c r="K37" s="723"/>
      <c r="L37" s="723"/>
      <c r="M37" s="723"/>
      <c r="N37" s="723"/>
      <c r="O37" s="723"/>
      <c r="P37" s="721"/>
      <c r="Q37" s="721"/>
      <c r="R37" s="721"/>
      <c r="S37" s="721"/>
      <c r="T37" s="721"/>
      <c r="U37" s="721"/>
      <c r="V37" s="721"/>
      <c r="W37" s="721"/>
      <c r="X37" s="721"/>
      <c r="Y37" s="721"/>
      <c r="Z37" s="721"/>
    </row>
    <row r="38" spans="1:26" s="694" customFormat="1" ht="15.75">
      <c r="A38" s="701"/>
      <c r="B38" s="694" t="s">
        <v>1269</v>
      </c>
      <c r="C38" s="723">
        <v>2367634.82896</v>
      </c>
      <c r="D38" s="721"/>
      <c r="E38" s="723">
        <v>973783.93887</v>
      </c>
      <c r="F38" s="723"/>
      <c r="G38" s="723">
        <v>736428</v>
      </c>
      <c r="H38" s="723"/>
      <c r="I38" s="723"/>
      <c r="J38" s="723"/>
      <c r="K38" s="723"/>
      <c r="L38" s="723"/>
      <c r="M38" s="723">
        <f>SUM(C38:K38)</f>
        <v>4077846.7678300003</v>
      </c>
      <c r="N38" s="721"/>
      <c r="O38" s="723">
        <v>479031.149226</v>
      </c>
      <c r="P38" s="721"/>
      <c r="Q38" s="723">
        <v>271856.4771886667</v>
      </c>
      <c r="R38" s="721"/>
      <c r="S38" s="721"/>
      <c r="T38" s="721"/>
      <c r="U38" s="721"/>
      <c r="V38" s="721"/>
      <c r="W38" s="723">
        <f>SUM(O38:U38)</f>
        <v>750887.6264146667</v>
      </c>
      <c r="X38" s="723"/>
      <c r="Y38" s="723">
        <f>M38-W38</f>
        <v>3326959.1414153334</v>
      </c>
      <c r="Z38" s="721"/>
    </row>
    <row r="39" spans="1:26" s="694" customFormat="1" ht="15.75">
      <c r="A39" s="701"/>
      <c r="B39" s="694" t="s">
        <v>1271</v>
      </c>
      <c r="C39" s="723">
        <v>1557632.26341</v>
      </c>
      <c r="D39" s="723"/>
      <c r="E39" s="723">
        <v>249209.212</v>
      </c>
      <c r="F39" s="721"/>
      <c r="G39" s="723">
        <v>66382</v>
      </c>
      <c r="H39" s="723"/>
      <c r="I39" s="723"/>
      <c r="J39" s="723"/>
      <c r="K39" s="723"/>
      <c r="L39" s="723"/>
      <c r="M39" s="723">
        <f>SUM(C39:K39)</f>
        <v>1873223.47541</v>
      </c>
      <c r="N39" s="723"/>
      <c r="O39" s="723">
        <v>1362012.0144274998</v>
      </c>
      <c r="P39" s="721"/>
      <c r="Q39" s="723">
        <v>468305.8158525</v>
      </c>
      <c r="R39" s="721"/>
      <c r="S39" s="721"/>
      <c r="T39" s="721"/>
      <c r="U39" s="721"/>
      <c r="V39" s="721"/>
      <c r="W39" s="723">
        <f>SUM(O39:U39)</f>
        <v>1830317.8302799999</v>
      </c>
      <c r="X39" s="721"/>
      <c r="Y39" s="723">
        <f>M39-W39</f>
        <v>42905.64513000008</v>
      </c>
      <c r="Z39" s="721"/>
    </row>
    <row r="40" spans="1:26" s="694" customFormat="1" ht="15.75">
      <c r="A40" s="701"/>
      <c r="B40" s="694" t="s">
        <v>1117</v>
      </c>
      <c r="C40" s="723">
        <v>1287035.308</v>
      </c>
      <c r="D40" s="723"/>
      <c r="E40" s="723">
        <v>1485942.3089</v>
      </c>
      <c r="F40" s="721"/>
      <c r="G40" s="723">
        <v>-802810</v>
      </c>
      <c r="H40" s="723"/>
      <c r="I40" s="723"/>
      <c r="J40" s="723"/>
      <c r="K40" s="723"/>
      <c r="L40" s="723"/>
      <c r="M40" s="723">
        <f>SUM(C40:K40)</f>
        <v>1970167.6168999998</v>
      </c>
      <c r="N40" s="723"/>
      <c r="O40" s="723">
        <v>0</v>
      </c>
      <c r="P40" s="721"/>
      <c r="Q40" s="723"/>
      <c r="R40" s="721"/>
      <c r="S40" s="721"/>
      <c r="T40" s="721"/>
      <c r="U40" s="721"/>
      <c r="V40" s="721"/>
      <c r="W40" s="723">
        <f>SUM(O40:U40)</f>
        <v>0</v>
      </c>
      <c r="X40" s="721"/>
      <c r="Y40" s="723">
        <f>M40-W40</f>
        <v>1970167.6168999998</v>
      </c>
      <c r="Z40" s="721"/>
    </row>
    <row r="41" spans="1:26" s="694" customFormat="1" ht="15.75">
      <c r="A41" s="701"/>
      <c r="C41" s="688">
        <f>SUM(C38:C40)</f>
        <v>5212302.40037</v>
      </c>
      <c r="D41" s="723"/>
      <c r="E41" s="688">
        <f>SUM(E38:E40)</f>
        <v>2708935.45977</v>
      </c>
      <c r="F41" s="721"/>
      <c r="G41" s="730">
        <v>0</v>
      </c>
      <c r="H41" s="723"/>
      <c r="I41" s="730">
        <v>0</v>
      </c>
      <c r="J41" s="723"/>
      <c r="K41" s="730">
        <v>0</v>
      </c>
      <c r="L41" s="723"/>
      <c r="M41" s="688">
        <f>SUM(M38:M40)</f>
        <v>7921237.8601400005</v>
      </c>
      <c r="N41" s="723"/>
      <c r="O41" s="730">
        <f>SUM(O38:O39)</f>
        <v>1841043.1636535</v>
      </c>
      <c r="P41" s="721"/>
      <c r="Q41" s="688">
        <f>SUM(Q38:Q39)</f>
        <v>740162.2930411666</v>
      </c>
      <c r="R41" s="729"/>
      <c r="S41" s="731">
        <v>0</v>
      </c>
      <c r="T41" s="729"/>
      <c r="U41" s="731">
        <v>0</v>
      </c>
      <c r="V41" s="729"/>
      <c r="W41" s="688">
        <f>SUM(W38:W39)</f>
        <v>2581205.4566946663</v>
      </c>
      <c r="X41" s="729"/>
      <c r="Y41" s="688">
        <f>M41-W41</f>
        <v>5340032.403445334</v>
      </c>
      <c r="Z41" s="721"/>
    </row>
    <row r="42" spans="1:26" s="694" customFormat="1" ht="15.75">
      <c r="A42" s="701"/>
      <c r="C42" s="723"/>
      <c r="D42" s="723"/>
      <c r="E42" s="723"/>
      <c r="F42" s="721"/>
      <c r="G42" s="723"/>
      <c r="H42" s="723"/>
      <c r="I42" s="723"/>
      <c r="J42" s="723"/>
      <c r="K42" s="723"/>
      <c r="L42" s="723"/>
      <c r="M42" s="723"/>
      <c r="N42" s="723"/>
      <c r="O42" s="723"/>
      <c r="P42" s="721"/>
      <c r="Q42" s="721"/>
      <c r="R42" s="721"/>
      <c r="S42" s="721"/>
      <c r="T42" s="721"/>
      <c r="U42" s="721"/>
      <c r="V42" s="721"/>
      <c r="W42" s="721"/>
      <c r="X42" s="721"/>
      <c r="Y42" s="721"/>
      <c r="Z42" s="721"/>
    </row>
    <row r="43" spans="1:28" s="690" customFormat="1" ht="15.75" hidden="1">
      <c r="A43" s="715"/>
      <c r="B43" s="724"/>
      <c r="C43" s="723">
        <v>0</v>
      </c>
      <c r="D43" s="726"/>
      <c r="E43" s="732">
        <f>SUM(E31:E42)</f>
        <v>7321886.66354</v>
      </c>
      <c r="F43" s="726"/>
      <c r="G43" s="732">
        <f>SUM(G31:G42)</f>
        <v>0</v>
      </c>
      <c r="H43" s="726"/>
      <c r="I43" s="732">
        <f>SUM(I31:I42)</f>
        <v>0</v>
      </c>
      <c r="J43" s="726"/>
      <c r="K43" s="732">
        <f>SUM(K31:K42)</f>
        <v>0</v>
      </c>
      <c r="L43" s="726"/>
      <c r="M43" s="732">
        <f>SUM(M31:M42)</f>
        <v>41165567.50702</v>
      </c>
      <c r="N43" s="726"/>
      <c r="O43" s="732">
        <f>SUM(O31:O42)</f>
        <v>12660575.697251802</v>
      </c>
      <c r="P43" s="726"/>
      <c r="Q43" s="732">
        <f>SUM(Q31:Q42)</f>
        <v>2754373.6293519335</v>
      </c>
      <c r="R43" s="726"/>
      <c r="S43" s="732">
        <f>SUM(S31:S42)</f>
        <v>0</v>
      </c>
      <c r="T43" s="726"/>
      <c r="U43" s="732">
        <f>SUM(U31:U42)</f>
        <v>0</v>
      </c>
      <c r="V43" s="726"/>
      <c r="W43" s="733">
        <f>O43+Q43+S43-U43</f>
        <v>15414949.326603737</v>
      </c>
      <c r="X43" s="726"/>
      <c r="Y43" s="732">
        <f>M43-W43</f>
        <v>25750618.18041626</v>
      </c>
      <c r="Z43" s="726"/>
      <c r="AB43" s="726" t="e">
        <f>Y43-#REF!</f>
        <v>#REF!</v>
      </c>
    </row>
    <row r="44" spans="1:26" s="694" customFormat="1" ht="15.75" hidden="1">
      <c r="A44" s="701"/>
      <c r="B44" s="727" t="s">
        <v>1267</v>
      </c>
      <c r="C44" s="723">
        <v>0</v>
      </c>
      <c r="D44" s="721"/>
      <c r="E44" s="721"/>
      <c r="F44" s="721"/>
      <c r="G44" s="721"/>
      <c r="H44" s="721"/>
      <c r="I44" s="721"/>
      <c r="J44" s="721"/>
      <c r="K44" s="721"/>
      <c r="L44" s="721"/>
      <c r="M44" s="721"/>
      <c r="N44" s="721"/>
      <c r="O44" s="721"/>
      <c r="P44" s="721"/>
      <c r="Q44" s="721"/>
      <c r="R44" s="721"/>
      <c r="S44" s="721"/>
      <c r="T44" s="721"/>
      <c r="U44" s="721"/>
      <c r="V44" s="721"/>
      <c r="W44" s="721"/>
      <c r="X44" s="721"/>
      <c r="Y44" s="721"/>
      <c r="Z44" s="721"/>
    </row>
    <row r="45" spans="1:26" s="694" customFormat="1" ht="15.75" hidden="1">
      <c r="A45" s="701"/>
      <c r="B45" s="694" t="s">
        <v>1932</v>
      </c>
      <c r="C45" s="723">
        <v>0</v>
      </c>
      <c r="D45" s="721"/>
      <c r="E45" s="721"/>
      <c r="F45" s="721"/>
      <c r="G45" s="721"/>
      <c r="H45" s="721"/>
      <c r="I45" s="721"/>
      <c r="J45" s="721"/>
      <c r="K45" s="721"/>
      <c r="L45" s="721"/>
      <c r="M45" s="721">
        <f aca="true" t="shared" si="3" ref="M45:M53">C45+E45+I45-K45</f>
        <v>0</v>
      </c>
      <c r="N45" s="721"/>
      <c r="O45" s="721"/>
      <c r="P45" s="721"/>
      <c r="Q45" s="721"/>
      <c r="R45" s="721"/>
      <c r="S45" s="721"/>
      <c r="T45" s="721"/>
      <c r="U45" s="721"/>
      <c r="V45" s="721"/>
      <c r="W45" s="721">
        <f aca="true" t="shared" si="4" ref="W45:W54">O45+Q45+S45-U45</f>
        <v>0</v>
      </c>
      <c r="X45" s="721"/>
      <c r="Y45" s="721">
        <f aca="true" t="shared" si="5" ref="Y45:Y54">M45-W45</f>
        <v>0</v>
      </c>
      <c r="Z45" s="721"/>
    </row>
    <row r="46" spans="1:26" s="694" customFormat="1" ht="15.75" hidden="1">
      <c r="A46" s="701"/>
      <c r="B46" s="694" t="s">
        <v>1268</v>
      </c>
      <c r="C46" s="723">
        <v>0</v>
      </c>
      <c r="D46" s="721"/>
      <c r="E46" s="721"/>
      <c r="F46" s="721"/>
      <c r="G46" s="721"/>
      <c r="H46" s="721"/>
      <c r="I46" s="721"/>
      <c r="J46" s="721"/>
      <c r="K46" s="721"/>
      <c r="L46" s="721"/>
      <c r="M46" s="721">
        <f t="shared" si="3"/>
        <v>0</v>
      </c>
      <c r="N46" s="721"/>
      <c r="O46" s="721"/>
      <c r="P46" s="721"/>
      <c r="Q46" s="721"/>
      <c r="R46" s="721"/>
      <c r="S46" s="721"/>
      <c r="T46" s="721"/>
      <c r="U46" s="721"/>
      <c r="V46" s="721"/>
      <c r="W46" s="721">
        <f t="shared" si="4"/>
        <v>0</v>
      </c>
      <c r="X46" s="721"/>
      <c r="Y46" s="721">
        <f t="shared" si="5"/>
        <v>0</v>
      </c>
      <c r="Z46" s="721"/>
    </row>
    <row r="47" spans="1:26" s="694" customFormat="1" ht="15.75" hidden="1">
      <c r="A47" s="701"/>
      <c r="B47" s="694" t="s">
        <v>1269</v>
      </c>
      <c r="C47" s="723">
        <v>0</v>
      </c>
      <c r="D47" s="721"/>
      <c r="E47" s="721"/>
      <c r="F47" s="721"/>
      <c r="G47" s="721"/>
      <c r="H47" s="721"/>
      <c r="I47" s="721"/>
      <c r="J47" s="721"/>
      <c r="K47" s="721"/>
      <c r="L47" s="721"/>
      <c r="M47" s="721">
        <f t="shared" si="3"/>
        <v>0</v>
      </c>
      <c r="N47" s="721"/>
      <c r="O47" s="721"/>
      <c r="P47" s="721"/>
      <c r="Q47" s="721"/>
      <c r="R47" s="721"/>
      <c r="S47" s="721"/>
      <c r="T47" s="721"/>
      <c r="U47" s="721"/>
      <c r="V47" s="721"/>
      <c r="W47" s="721">
        <f t="shared" si="4"/>
        <v>0</v>
      </c>
      <c r="X47" s="721"/>
      <c r="Y47" s="721">
        <f t="shared" si="5"/>
        <v>0</v>
      </c>
      <c r="Z47" s="721"/>
    </row>
    <row r="48" spans="1:26" s="694" customFormat="1" ht="15.75" hidden="1">
      <c r="A48" s="701"/>
      <c r="B48" s="694" t="s">
        <v>1270</v>
      </c>
      <c r="C48" s="723">
        <v>0</v>
      </c>
      <c r="D48" s="721"/>
      <c r="E48" s="721"/>
      <c r="F48" s="721"/>
      <c r="G48" s="721"/>
      <c r="H48" s="721"/>
      <c r="I48" s="721"/>
      <c r="J48" s="721"/>
      <c r="K48" s="721"/>
      <c r="L48" s="721"/>
      <c r="M48" s="721">
        <f t="shared" si="3"/>
        <v>0</v>
      </c>
      <c r="N48" s="721"/>
      <c r="O48" s="721"/>
      <c r="P48" s="721"/>
      <c r="Q48" s="721"/>
      <c r="R48" s="721"/>
      <c r="S48" s="721"/>
      <c r="T48" s="721"/>
      <c r="U48" s="721"/>
      <c r="V48" s="721"/>
      <c r="W48" s="721">
        <f t="shared" si="4"/>
        <v>0</v>
      </c>
      <c r="X48" s="721"/>
      <c r="Y48" s="721">
        <f t="shared" si="5"/>
        <v>0</v>
      </c>
      <c r="Z48" s="721"/>
    </row>
    <row r="49" spans="1:26" s="694" customFormat="1" ht="15.75" hidden="1">
      <c r="A49" s="701"/>
      <c r="B49" s="694" t="s">
        <v>1271</v>
      </c>
      <c r="C49" s="723">
        <v>0</v>
      </c>
      <c r="D49" s="721"/>
      <c r="E49" s="721"/>
      <c r="F49" s="721"/>
      <c r="G49" s="721"/>
      <c r="H49" s="721"/>
      <c r="I49" s="721"/>
      <c r="J49" s="721"/>
      <c r="K49" s="721"/>
      <c r="L49" s="721"/>
      <c r="M49" s="721">
        <f t="shared" si="3"/>
        <v>0</v>
      </c>
      <c r="N49" s="721"/>
      <c r="O49" s="721"/>
      <c r="P49" s="721"/>
      <c r="Q49" s="721"/>
      <c r="R49" s="721"/>
      <c r="S49" s="721"/>
      <c r="T49" s="721"/>
      <c r="U49" s="721"/>
      <c r="V49" s="721"/>
      <c r="W49" s="721">
        <f t="shared" si="4"/>
        <v>0</v>
      </c>
      <c r="X49" s="721"/>
      <c r="Y49" s="721">
        <f t="shared" si="5"/>
        <v>0</v>
      </c>
      <c r="Z49" s="721"/>
    </row>
    <row r="50" spans="1:26" s="694" customFormat="1" ht="15.75" hidden="1">
      <c r="A50" s="701"/>
      <c r="B50" s="694" t="s">
        <v>1272</v>
      </c>
      <c r="C50" s="723">
        <v>0</v>
      </c>
      <c r="D50" s="721"/>
      <c r="E50" s="721"/>
      <c r="F50" s="721"/>
      <c r="G50" s="721"/>
      <c r="H50" s="721"/>
      <c r="I50" s="721"/>
      <c r="J50" s="721"/>
      <c r="K50" s="721"/>
      <c r="L50" s="721"/>
      <c r="M50" s="721">
        <f t="shared" si="3"/>
        <v>0</v>
      </c>
      <c r="N50" s="721"/>
      <c r="O50" s="721"/>
      <c r="P50" s="721"/>
      <c r="Q50" s="721"/>
      <c r="R50" s="721"/>
      <c r="S50" s="721"/>
      <c r="T50" s="721"/>
      <c r="U50" s="721"/>
      <c r="V50" s="721"/>
      <c r="W50" s="721">
        <f t="shared" si="4"/>
        <v>0</v>
      </c>
      <c r="X50" s="721"/>
      <c r="Y50" s="721">
        <f t="shared" si="5"/>
        <v>0</v>
      </c>
      <c r="Z50" s="721"/>
    </row>
    <row r="51" spans="1:26" s="694" customFormat="1" ht="15.75" hidden="1">
      <c r="A51" s="701"/>
      <c r="B51" s="694" t="s">
        <v>1779</v>
      </c>
      <c r="C51" s="723">
        <v>0</v>
      </c>
      <c r="D51" s="721"/>
      <c r="E51" s="721"/>
      <c r="F51" s="721"/>
      <c r="G51" s="721"/>
      <c r="H51" s="721"/>
      <c r="I51" s="721"/>
      <c r="J51" s="721"/>
      <c r="K51" s="721"/>
      <c r="L51" s="721"/>
      <c r="M51" s="721">
        <f t="shared" si="3"/>
        <v>0</v>
      </c>
      <c r="N51" s="721"/>
      <c r="O51" s="721"/>
      <c r="P51" s="721"/>
      <c r="Q51" s="721"/>
      <c r="R51" s="721"/>
      <c r="S51" s="721"/>
      <c r="T51" s="721"/>
      <c r="U51" s="721"/>
      <c r="V51" s="721"/>
      <c r="W51" s="721">
        <f t="shared" si="4"/>
        <v>0</v>
      </c>
      <c r="X51" s="721"/>
      <c r="Y51" s="721">
        <f t="shared" si="5"/>
        <v>0</v>
      </c>
      <c r="Z51" s="721"/>
    </row>
    <row r="52" spans="1:26" s="694" customFormat="1" ht="15.75" hidden="1">
      <c r="A52" s="701"/>
      <c r="B52" s="694" t="s">
        <v>10</v>
      </c>
      <c r="C52" s="723">
        <v>0</v>
      </c>
      <c r="D52" s="721"/>
      <c r="E52" s="721"/>
      <c r="F52" s="721"/>
      <c r="G52" s="721"/>
      <c r="H52" s="721"/>
      <c r="I52" s="721"/>
      <c r="J52" s="721"/>
      <c r="K52" s="721"/>
      <c r="L52" s="721"/>
      <c r="M52" s="721">
        <f t="shared" si="3"/>
        <v>0</v>
      </c>
      <c r="N52" s="721"/>
      <c r="O52" s="721"/>
      <c r="P52" s="721"/>
      <c r="Q52" s="721"/>
      <c r="R52" s="721"/>
      <c r="S52" s="721"/>
      <c r="T52" s="721"/>
      <c r="U52" s="721"/>
      <c r="V52" s="721"/>
      <c r="W52" s="721">
        <f t="shared" si="4"/>
        <v>0</v>
      </c>
      <c r="X52" s="721"/>
      <c r="Y52" s="721">
        <f t="shared" si="5"/>
        <v>0</v>
      </c>
      <c r="Z52" s="721"/>
    </row>
    <row r="53" spans="1:26" s="694" customFormat="1" ht="15.75" hidden="1">
      <c r="A53" s="701"/>
      <c r="B53" s="694" t="s">
        <v>1117</v>
      </c>
      <c r="C53" s="723">
        <v>0</v>
      </c>
      <c r="D53" s="721"/>
      <c r="E53" s="721"/>
      <c r="F53" s="721"/>
      <c r="G53" s="721"/>
      <c r="H53" s="721"/>
      <c r="I53" s="721"/>
      <c r="J53" s="721"/>
      <c r="K53" s="721"/>
      <c r="L53" s="721"/>
      <c r="M53" s="721">
        <f t="shared" si="3"/>
        <v>0</v>
      </c>
      <c r="N53" s="721"/>
      <c r="O53" s="721"/>
      <c r="P53" s="721"/>
      <c r="Q53" s="721"/>
      <c r="R53" s="721"/>
      <c r="S53" s="721"/>
      <c r="T53" s="721"/>
      <c r="U53" s="721"/>
      <c r="V53" s="721"/>
      <c r="W53" s="721">
        <f t="shared" si="4"/>
        <v>0</v>
      </c>
      <c r="X53" s="721"/>
      <c r="Y53" s="721">
        <f t="shared" si="5"/>
        <v>0</v>
      </c>
      <c r="Z53" s="721"/>
    </row>
    <row r="54" spans="1:26" s="690" customFormat="1" ht="15.75" hidden="1">
      <c r="A54" s="715"/>
      <c r="B54" s="724"/>
      <c r="C54" s="723">
        <v>0</v>
      </c>
      <c r="D54" s="726"/>
      <c r="E54" s="732">
        <f>SUM(E45:E53)</f>
        <v>0</v>
      </c>
      <c r="F54" s="726"/>
      <c r="G54" s="732">
        <f>SUM(G45:G53)</f>
        <v>0</v>
      </c>
      <c r="H54" s="726"/>
      <c r="I54" s="732">
        <f>SUM(I45:I53)</f>
        <v>0</v>
      </c>
      <c r="J54" s="726"/>
      <c r="K54" s="732">
        <f>SUM(K45:K53)</f>
        <v>0</v>
      </c>
      <c r="L54" s="726"/>
      <c r="M54" s="732">
        <f>SUM(M45:M53)</f>
        <v>0</v>
      </c>
      <c r="N54" s="726"/>
      <c r="O54" s="732">
        <f>SUM(O45:O53)</f>
        <v>0</v>
      </c>
      <c r="P54" s="726"/>
      <c r="Q54" s="732">
        <f>SUM(Q45:Q53)</f>
        <v>0</v>
      </c>
      <c r="R54" s="726"/>
      <c r="S54" s="732">
        <f>SUM(S45:S53)</f>
        <v>0</v>
      </c>
      <c r="T54" s="726"/>
      <c r="U54" s="732">
        <f>SUM(U45:U53)</f>
        <v>0</v>
      </c>
      <c r="V54" s="726"/>
      <c r="W54" s="733">
        <f t="shared" si="4"/>
        <v>0</v>
      </c>
      <c r="X54" s="726"/>
      <c r="Y54" s="732">
        <f t="shared" si="5"/>
        <v>0</v>
      </c>
      <c r="Z54" s="726"/>
    </row>
    <row r="55" spans="1:26" s="690" customFormat="1" ht="12" customHeight="1" hidden="1">
      <c r="A55" s="715"/>
      <c r="B55" s="724"/>
      <c r="C55" s="723">
        <v>0</v>
      </c>
      <c r="D55" s="726"/>
      <c r="E55" s="726"/>
      <c r="F55" s="726"/>
      <c r="G55" s="726"/>
      <c r="H55" s="726"/>
      <c r="I55" s="726"/>
      <c r="J55" s="726"/>
      <c r="K55" s="726"/>
      <c r="L55" s="726"/>
      <c r="M55" s="726"/>
      <c r="N55" s="726"/>
      <c r="O55" s="726"/>
      <c r="P55" s="726"/>
      <c r="Q55" s="726"/>
      <c r="R55" s="726"/>
      <c r="S55" s="726"/>
      <c r="T55" s="726"/>
      <c r="U55" s="726"/>
      <c r="V55" s="726"/>
      <c r="W55" s="721"/>
      <c r="X55" s="726"/>
      <c r="Y55" s="726"/>
      <c r="Z55" s="726"/>
    </row>
    <row r="56" spans="1:26" s="690" customFormat="1" ht="16.5" thickBot="1">
      <c r="A56" s="715"/>
      <c r="B56" s="690" t="s">
        <v>943</v>
      </c>
      <c r="C56" s="728">
        <f>C36+C41</f>
        <v>16921840.421740003</v>
      </c>
      <c r="D56" s="726"/>
      <c r="E56" s="728">
        <f>E36+E41</f>
        <v>3660943.33177</v>
      </c>
      <c r="F56" s="725">
        <f>F36+F41</f>
        <v>0</v>
      </c>
      <c r="G56" s="728">
        <f>G36+G41</f>
        <v>0</v>
      </c>
      <c r="H56" s="725"/>
      <c r="I56" s="728">
        <f>I43+I54</f>
        <v>0</v>
      </c>
      <c r="J56" s="725"/>
      <c r="K56" s="728">
        <f>K36+K41</f>
        <v>0</v>
      </c>
      <c r="L56" s="725"/>
      <c r="M56" s="728">
        <f>M36+M41</f>
        <v>20582783.75351</v>
      </c>
      <c r="N56" s="725"/>
      <c r="O56" s="728">
        <f>O36+O41</f>
        <v>6330287.8486259</v>
      </c>
      <c r="P56" s="725"/>
      <c r="Q56" s="728">
        <f>Q36+Q41</f>
        <v>1377186.8146759667</v>
      </c>
      <c r="R56" s="725"/>
      <c r="S56" s="728">
        <f>S43+S54</f>
        <v>0</v>
      </c>
      <c r="T56" s="725"/>
      <c r="U56" s="728">
        <f>U36+U41</f>
        <v>0</v>
      </c>
      <c r="V56" s="725"/>
      <c r="W56" s="728">
        <f>W36+W41</f>
        <v>7707474.6633018665</v>
      </c>
      <c r="X56" s="725"/>
      <c r="Y56" s="728">
        <f>Y36+Y41</f>
        <v>12875309.090208132</v>
      </c>
      <c r="Z56" s="726"/>
    </row>
    <row r="57" s="694" customFormat="1" ht="16.5" thickTop="1">
      <c r="A57" s="701"/>
    </row>
    <row r="58" spans="1:25" s="694" customFormat="1" ht="15.75">
      <c r="A58" s="984" t="s">
        <v>2492</v>
      </c>
      <c r="C58" s="721"/>
      <c r="Q58" s="721"/>
      <c r="Y58" s="673"/>
    </row>
    <row r="59" spans="2:26" ht="15.75">
      <c r="B59" s="667"/>
      <c r="C59" s="703"/>
      <c r="D59" s="667"/>
      <c r="E59" s="677"/>
      <c r="F59" s="677"/>
      <c r="G59" s="677"/>
      <c r="H59" s="677"/>
      <c r="I59" s="677"/>
      <c r="J59" s="677"/>
      <c r="K59" s="677"/>
      <c r="L59" s="677"/>
      <c r="M59" s="792"/>
      <c r="N59" s="677"/>
      <c r="O59" s="677"/>
      <c r="P59" s="677"/>
      <c r="Q59" s="791"/>
      <c r="R59" s="677"/>
      <c r="S59" s="677"/>
      <c r="T59" s="677"/>
      <c r="U59" s="677"/>
      <c r="V59" s="677"/>
      <c r="X59" s="677"/>
      <c r="Z59" s="677"/>
    </row>
    <row r="60" spans="2:17" s="878" customFormat="1" ht="15.75">
      <c r="B60" s="894" t="s">
        <v>2480</v>
      </c>
      <c r="C60" s="894"/>
      <c r="D60" s="894"/>
      <c r="E60" s="894"/>
      <c r="F60" s="895"/>
      <c r="G60" s="896"/>
      <c r="H60" s="895"/>
      <c r="I60" s="894"/>
      <c r="J60" s="894"/>
      <c r="K60" s="894"/>
      <c r="L60" s="894"/>
      <c r="M60" s="922"/>
      <c r="N60" s="894"/>
      <c r="O60" s="894"/>
      <c r="Q60" s="916"/>
    </row>
    <row r="61" spans="2:26" ht="15.75">
      <c r="B61" s="673" t="s">
        <v>2487</v>
      </c>
      <c r="C61" s="699"/>
      <c r="E61" s="671"/>
      <c r="F61" s="671"/>
      <c r="G61" s="671"/>
      <c r="H61" s="677"/>
      <c r="I61" s="677"/>
      <c r="J61" s="677"/>
      <c r="K61" s="677"/>
      <c r="L61" s="677"/>
      <c r="M61" s="703"/>
      <c r="N61" s="677"/>
      <c r="O61" s="992"/>
      <c r="P61" s="677"/>
      <c r="Q61" s="916"/>
      <c r="R61" s="677"/>
      <c r="S61" s="677"/>
      <c r="T61" s="677"/>
      <c r="U61" s="677"/>
      <c r="V61" s="677"/>
      <c r="X61" s="677"/>
      <c r="Z61" s="677"/>
    </row>
    <row r="62" spans="2:26" ht="15.75">
      <c r="B62" s="673" t="s">
        <v>2481</v>
      </c>
      <c r="C62" s="699"/>
      <c r="E62" s="671"/>
      <c r="F62" s="671"/>
      <c r="G62" s="671"/>
      <c r="H62" s="677"/>
      <c r="I62" s="677"/>
      <c r="J62" s="677"/>
      <c r="K62" s="677"/>
      <c r="L62" s="677"/>
      <c r="M62" s="703"/>
      <c r="N62" s="677"/>
      <c r="O62" s="677"/>
      <c r="P62" s="677"/>
      <c r="Q62" s="916"/>
      <c r="R62" s="677"/>
      <c r="S62" s="677"/>
      <c r="T62" s="677"/>
      <c r="U62" s="677"/>
      <c r="V62" s="677"/>
      <c r="X62" s="677"/>
      <c r="Z62" s="677"/>
    </row>
    <row r="63" spans="2:17" ht="15.75">
      <c r="B63" s="673" t="s">
        <v>2482</v>
      </c>
      <c r="M63" s="699"/>
      <c r="Q63" s="916"/>
    </row>
    <row r="64" spans="2:17" ht="15.75">
      <c r="B64" s="673" t="s">
        <v>2483</v>
      </c>
      <c r="M64" s="699"/>
      <c r="Q64" s="916"/>
    </row>
    <row r="65" spans="2:20" ht="15.75">
      <c r="B65" s="673" t="s">
        <v>2484</v>
      </c>
      <c r="M65" s="699"/>
      <c r="Q65" s="916"/>
      <c r="S65" s="679"/>
      <c r="T65" s="679"/>
    </row>
    <row r="66" spans="2:17" ht="15.75">
      <c r="B66" s="673" t="s">
        <v>2485</v>
      </c>
      <c r="M66" s="699"/>
      <c r="Q66" s="916"/>
    </row>
    <row r="67" spans="2:17" ht="15.75">
      <c r="B67" s="673" t="s">
        <v>2486</v>
      </c>
      <c r="M67" s="699"/>
      <c r="Q67" s="916"/>
    </row>
    <row r="68" spans="13:17" ht="15.75">
      <c r="M68" s="699"/>
      <c r="Q68" s="916"/>
    </row>
    <row r="69" spans="13:17" ht="15.75">
      <c r="M69" s="699"/>
      <c r="Q69" s="916"/>
    </row>
    <row r="70" spans="13:17" ht="15.75">
      <c r="M70" s="705"/>
      <c r="Q70" s="916"/>
    </row>
  </sheetData>
  <sheetProtection/>
  <mergeCells count="6">
    <mergeCell ref="B9:B10"/>
    <mergeCell ref="Y9:Y10"/>
    <mergeCell ref="O9:W9"/>
    <mergeCell ref="C9:M9"/>
    <mergeCell ref="I10:I11"/>
    <mergeCell ref="U10:U11"/>
  </mergeCells>
  <printOptions/>
  <pageMargins left="0.23" right="0.16" top="0.42" bottom="0.85" header="0.41" footer="0.42"/>
  <pageSetup firstPageNumber="42" useFirstPageNumber="1" fitToHeight="1" fitToWidth="1" horizontalDpi="1200" verticalDpi="1200" orientation="landscape" paperSize="8" scale="82"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dimension ref="A1:AG57"/>
  <sheetViews>
    <sheetView zoomScalePageLayoutView="0" workbookViewId="0" topLeftCell="A12">
      <pane xSplit="2" topLeftCell="P1" activePane="topRight" state="frozen"/>
      <selection pane="topLeft" activeCell="A4" sqref="A4"/>
      <selection pane="topRight" activeCell="R30" sqref="R30"/>
    </sheetView>
  </sheetViews>
  <sheetFormatPr defaultColWidth="8.00390625" defaultRowHeight="15.75"/>
  <cols>
    <col min="1" max="1" width="3.375" style="451" customWidth="1"/>
    <col min="2" max="2" width="31.50390625" style="451" customWidth="1"/>
    <col min="3" max="3" width="12.625" style="446" customWidth="1"/>
    <col min="4" max="4" width="0.875" style="446" customWidth="1"/>
    <col min="5" max="5" width="12.625" style="446" customWidth="1"/>
    <col min="6" max="6" width="0.875" style="446" customWidth="1"/>
    <col min="7" max="7" width="12.00390625" style="446" customWidth="1"/>
    <col min="8" max="8" width="1.00390625" style="446" customWidth="1"/>
    <col min="9" max="9" width="12.625" style="446" customWidth="1"/>
    <col min="10" max="10" width="0.875" style="446" customWidth="1"/>
    <col min="11" max="11" width="10.00390625" style="446" customWidth="1"/>
    <col min="12" max="12" width="11.75390625" style="446" customWidth="1"/>
    <col min="13" max="13" width="0.875" style="446" customWidth="1"/>
    <col min="14" max="14" width="11.875" style="446" customWidth="1"/>
    <col min="15" max="15" width="0.875" style="446" customWidth="1"/>
    <col min="16" max="16" width="12.625" style="446" customWidth="1"/>
    <col min="17" max="17" width="0.875" style="446" customWidth="1"/>
    <col min="18" max="18" width="12.625" style="446" customWidth="1"/>
    <col min="19" max="19" width="0.875" style="446" customWidth="1"/>
    <col min="20" max="20" width="12.625" style="446" customWidth="1"/>
    <col min="21" max="21" width="0.875" style="446" customWidth="1"/>
    <col min="22" max="22" width="12.625" style="446" customWidth="1"/>
    <col min="23" max="23" width="0.875" style="446" customWidth="1"/>
    <col min="24" max="24" width="12.625" style="446" customWidth="1"/>
    <col min="25" max="25" width="0.875" style="446" customWidth="1"/>
    <col min="26" max="26" width="12.625" style="446" customWidth="1"/>
    <col min="27" max="27" width="0.875" style="446" customWidth="1"/>
    <col min="28" max="28" width="12.625" style="446" customWidth="1"/>
    <col min="29" max="29" width="0.875" style="446" customWidth="1"/>
    <col min="30" max="30" width="12.625" style="455" customWidth="1"/>
    <col min="31" max="31" width="0.875" style="446" customWidth="1"/>
    <col min="32" max="32" width="10.625" style="451" customWidth="1"/>
    <col min="33" max="33" width="10.125" style="451" customWidth="1"/>
    <col min="34" max="53" width="19.375" style="451" customWidth="1"/>
    <col min="54" max="16384" width="8.00390625" style="451" customWidth="1"/>
  </cols>
  <sheetData>
    <row r="1" spans="1:31" s="448" customFormat="1" ht="15.75">
      <c r="A1" s="448" t="str">
        <f>'[3]Notes'!A1</f>
        <v>THE UNITED REPUBLIC OF TANZANIA</v>
      </c>
      <c r="B1" s="477"/>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row>
    <row r="2" spans="1:31" s="448" customFormat="1" ht="15.75">
      <c r="A2" s="448" t="str">
        <f>'[3]Notes'!A2</f>
        <v>PRIME MINISTER’S OFFICE - REGIONAL ADMINISTRATION AND LOCAL GOVERNMENT</v>
      </c>
      <c r="B2" s="453"/>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row>
    <row r="3" spans="1:31" s="448" customFormat="1" ht="15.75">
      <c r="A3" s="448" t="str">
        <f>'[3]Notes'!A3</f>
        <v>BABATI DISTRICT COUNCIL</v>
      </c>
      <c r="B3" s="453"/>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635"/>
      <c r="AE3" s="455"/>
    </row>
    <row r="4" spans="2:31" s="448" customFormat="1" ht="15.75">
      <c r="B4" s="453"/>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635"/>
      <c r="AE4" s="455"/>
    </row>
    <row r="5" spans="1:31" s="448" customFormat="1" ht="15.75">
      <c r="A5" s="448" t="str">
        <f>'[3]Notes'!A5</f>
        <v>NOTES TO THE FINANCIAL STATEMENTS (Continued)</v>
      </c>
      <c r="B5" s="477"/>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636"/>
      <c r="AE5" s="455"/>
    </row>
    <row r="6" spans="1:31" s="448" customFormat="1" ht="15.75">
      <c r="A6" s="448" t="str">
        <f>Notes!A6</f>
        <v>FOR THE YEAR ENDED 30 JUNE 2016</v>
      </c>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row>
    <row r="7" spans="3:31" s="448" customFormat="1" ht="15.7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row>
    <row r="8" spans="1:31" s="448" customFormat="1" ht="15.75">
      <c r="A8" s="510">
        <f>Notes!A98+1</f>
        <v>25</v>
      </c>
      <c r="B8" s="477" t="s">
        <v>4</v>
      </c>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row>
    <row r="9" spans="3:31" s="470" customFormat="1" ht="62.25" customHeight="1">
      <c r="C9" s="476" t="str">
        <f>'[3]IS-F'!A21</f>
        <v>Administration</v>
      </c>
      <c r="D9" s="474"/>
      <c r="E9" s="685" t="str">
        <f>'[3]IS-F'!A22</f>
        <v>Human resource management and development</v>
      </c>
      <c r="F9" s="474"/>
      <c r="G9" s="685" t="str">
        <f>'[3]IS-F'!A23</f>
        <v>Finance</v>
      </c>
      <c r="H9" s="686"/>
      <c r="I9" s="685" t="str">
        <f>'[3]IS-F'!A24</f>
        <v>Trade and economic affairs</v>
      </c>
      <c r="J9" s="686"/>
      <c r="K9" s="685" t="s">
        <v>1054</v>
      </c>
      <c r="L9" s="685" t="str">
        <f>'[3]IS-F'!A25</f>
        <v>Livestock</v>
      </c>
      <c r="M9" s="686"/>
      <c r="N9" s="685" t="str">
        <f>'[3]IS-F'!A27</f>
        <v>Agriculture</v>
      </c>
      <c r="O9" s="686"/>
      <c r="P9" s="685" t="str">
        <f>'[3]IS-F'!A28</f>
        <v>Education</v>
      </c>
      <c r="Q9" s="686"/>
      <c r="R9" s="685" t="str">
        <f>'[3]IS-F'!A29</f>
        <v>Primary health services</v>
      </c>
      <c r="S9" s="686"/>
      <c r="T9" s="685" t="str">
        <f>'[3]IS-F'!A30</f>
        <v>Water</v>
      </c>
      <c r="U9" s="686"/>
      <c r="V9" s="685" t="str">
        <f>'[3]IS-F'!A31</f>
        <v>Works</v>
      </c>
      <c r="W9" s="686"/>
      <c r="X9" s="685" t="str">
        <f>'[3]IS-F'!A32</f>
        <v>Lands</v>
      </c>
      <c r="Y9" s="686"/>
      <c r="Z9" s="685" t="str">
        <f>'[3]IS-F'!A33</f>
        <v>Natural resources</v>
      </c>
      <c r="AA9" s="686"/>
      <c r="AB9" s="685" t="str">
        <f>'[3]IS-F'!A34</f>
        <v>Community development, gender and children</v>
      </c>
      <c r="AC9" s="474"/>
      <c r="AD9" s="685" t="s">
        <v>943</v>
      </c>
      <c r="AE9" s="474"/>
    </row>
    <row r="10" spans="2:31" ht="15.75">
      <c r="B10" s="477"/>
      <c r="C10" s="455" t="s">
        <v>1202</v>
      </c>
      <c r="D10" s="455"/>
      <c r="E10" s="455" t="s">
        <v>1202</v>
      </c>
      <c r="F10" s="455"/>
      <c r="G10" s="455" t="s">
        <v>1202</v>
      </c>
      <c r="H10" s="455"/>
      <c r="I10" s="455" t="s">
        <v>1202</v>
      </c>
      <c r="J10" s="455"/>
      <c r="K10" s="455" t="s">
        <v>1202</v>
      </c>
      <c r="L10" s="455" t="s">
        <v>1202</v>
      </c>
      <c r="M10" s="455"/>
      <c r="N10" s="455" t="s">
        <v>1202</v>
      </c>
      <c r="O10" s="455"/>
      <c r="P10" s="455" t="s">
        <v>1202</v>
      </c>
      <c r="Q10" s="455"/>
      <c r="R10" s="455" t="s">
        <v>1202</v>
      </c>
      <c r="S10" s="455"/>
      <c r="T10" s="455" t="s">
        <v>1202</v>
      </c>
      <c r="U10" s="455"/>
      <c r="V10" s="455"/>
      <c r="W10" s="455"/>
      <c r="X10" s="455"/>
      <c r="Y10" s="455"/>
      <c r="Z10" s="455"/>
      <c r="AA10" s="455"/>
      <c r="AB10" s="455" t="s">
        <v>1202</v>
      </c>
      <c r="AC10" s="455"/>
      <c r="AD10" s="455" t="s">
        <v>1202</v>
      </c>
      <c r="AE10" s="455"/>
    </row>
    <row r="11" spans="2:31" ht="15.75">
      <c r="B11" s="490" t="s">
        <v>2403</v>
      </c>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E11" s="455"/>
    </row>
    <row r="12" spans="2:32" ht="15.75">
      <c r="B12" s="445" t="s">
        <v>1084</v>
      </c>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55"/>
      <c r="AE12" s="455"/>
      <c r="AF12" s="615"/>
    </row>
    <row r="13" spans="2:33" ht="15.75">
      <c r="B13" s="450" t="s">
        <v>372</v>
      </c>
      <c r="C13" s="496"/>
      <c r="D13" s="496"/>
      <c r="E13" s="496"/>
      <c r="F13" s="496"/>
      <c r="G13" s="496"/>
      <c r="H13" s="496"/>
      <c r="I13" s="496">
        <v>154782</v>
      </c>
      <c r="J13" s="496"/>
      <c r="K13" s="496"/>
      <c r="L13" s="496"/>
      <c r="M13" s="496"/>
      <c r="N13" s="496">
        <v>403805</v>
      </c>
      <c r="O13" s="496"/>
      <c r="P13" s="496"/>
      <c r="Q13" s="496"/>
      <c r="R13" s="496"/>
      <c r="S13" s="496"/>
      <c r="T13" s="496"/>
      <c r="U13" s="496"/>
      <c r="V13" s="496"/>
      <c r="W13" s="496"/>
      <c r="X13" s="496">
        <f>15572+53</f>
        <v>15625</v>
      </c>
      <c r="Y13" s="496"/>
      <c r="Z13" s="496"/>
      <c r="AA13" s="496"/>
      <c r="AB13" s="496"/>
      <c r="AC13" s="496"/>
      <c r="AD13" s="499">
        <f aca="true" t="shared" si="0" ref="AD13:AD18">SUM(C13:AB13)</f>
        <v>574212</v>
      </c>
      <c r="AE13" s="455"/>
      <c r="AF13" s="504"/>
      <c r="AG13" s="615"/>
    </row>
    <row r="14" spans="2:33" ht="15.75">
      <c r="B14" s="450" t="s">
        <v>438</v>
      </c>
      <c r="C14" s="496">
        <f>7991+17700+192270</f>
        <v>217961</v>
      </c>
      <c r="D14" s="496"/>
      <c r="E14" s="496"/>
      <c r="F14" s="496"/>
      <c r="G14" s="496"/>
      <c r="H14" s="496"/>
      <c r="I14" s="496">
        <f>2130+1150+24173+62916+28793+20481</f>
        <v>139643</v>
      </c>
      <c r="J14" s="496"/>
      <c r="K14" s="496"/>
      <c r="L14" s="496">
        <f>26668+82713</f>
        <v>109381</v>
      </c>
      <c r="M14" s="496"/>
      <c r="N14" s="496">
        <f>4982</f>
        <v>4982</v>
      </c>
      <c r="O14" s="496"/>
      <c r="P14" s="496"/>
      <c r="Q14" s="496"/>
      <c r="R14" s="496"/>
      <c r="S14" s="496"/>
      <c r="T14" s="496"/>
      <c r="U14" s="496"/>
      <c r="V14" s="496"/>
      <c r="W14" s="496"/>
      <c r="X14" s="496"/>
      <c r="Y14" s="496"/>
      <c r="Z14" s="496">
        <v>12485</v>
      </c>
      <c r="AA14" s="496"/>
      <c r="AB14" s="496"/>
      <c r="AC14" s="496"/>
      <c r="AD14" s="499">
        <f t="shared" si="0"/>
        <v>484452</v>
      </c>
      <c r="AE14" s="455"/>
      <c r="AF14" s="504"/>
      <c r="AG14" s="615"/>
    </row>
    <row r="15" spans="2:33" ht="16.5">
      <c r="B15" s="447" t="s">
        <v>748</v>
      </c>
      <c r="C15" s="496">
        <v>2014545</v>
      </c>
      <c r="D15" s="496"/>
      <c r="E15" s="496">
        <v>87450</v>
      </c>
      <c r="F15" s="496"/>
      <c r="G15" s="496">
        <v>124875</v>
      </c>
      <c r="H15" s="496"/>
      <c r="I15" s="496">
        <v>147851</v>
      </c>
      <c r="J15" s="496"/>
      <c r="K15" s="496">
        <v>17545</v>
      </c>
      <c r="L15" s="496">
        <v>89745</v>
      </c>
      <c r="M15" s="496"/>
      <c r="N15" s="496">
        <v>154879</v>
      </c>
      <c r="O15" s="496"/>
      <c r="P15" s="614">
        <f>16489539+2908735+685647+605484</f>
        <v>20689405</v>
      </c>
      <c r="Q15" s="496"/>
      <c r="R15" s="614">
        <f>2849564+168401</f>
        <v>3017965</v>
      </c>
      <c r="S15" s="496"/>
      <c r="T15" s="614">
        <v>2248746</v>
      </c>
      <c r="U15" s="496"/>
      <c r="V15" s="614">
        <v>1879654</v>
      </c>
      <c r="W15" s="496"/>
      <c r="X15" s="496">
        <v>54285</v>
      </c>
      <c r="Y15" s="496"/>
      <c r="Z15" s="496">
        <v>20154</v>
      </c>
      <c r="AA15" s="496"/>
      <c r="AB15" s="496">
        <v>67845</v>
      </c>
      <c r="AC15" s="496"/>
      <c r="AD15" s="499">
        <f t="shared" si="0"/>
        <v>30614944</v>
      </c>
      <c r="AE15" s="455"/>
      <c r="AF15" s="504"/>
      <c r="AG15" s="615"/>
    </row>
    <row r="16" spans="2:33" ht="15.75">
      <c r="B16" s="464" t="s">
        <v>439</v>
      </c>
      <c r="C16" s="496">
        <v>13825</v>
      </c>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9">
        <f t="shared" si="0"/>
        <v>13825</v>
      </c>
      <c r="AE16" s="455"/>
      <c r="AF16" s="497"/>
      <c r="AG16" s="615"/>
    </row>
    <row r="17" spans="2:33" ht="15.75">
      <c r="B17" s="464" t="s">
        <v>1831</v>
      </c>
      <c r="C17" s="496">
        <f>'IS'!C22</f>
        <v>2406803.881294061</v>
      </c>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9">
        <f t="shared" si="0"/>
        <v>2406803.881294061</v>
      </c>
      <c r="AE17" s="455"/>
      <c r="AG17" s="615"/>
    </row>
    <row r="18" spans="2:33" ht="15.75">
      <c r="B18" s="450" t="s">
        <v>1866</v>
      </c>
      <c r="C18" s="661">
        <v>508100</v>
      </c>
      <c r="D18" s="496"/>
      <c r="E18" s="496"/>
      <c r="F18" s="496"/>
      <c r="G18" s="496">
        <v>16000</v>
      </c>
      <c r="H18" s="496"/>
      <c r="I18" s="496"/>
      <c r="J18" s="496"/>
      <c r="K18" s="496"/>
      <c r="L18" s="496"/>
      <c r="M18" s="496"/>
      <c r="N18" s="496"/>
      <c r="O18" s="496"/>
      <c r="P18" s="496">
        <v>224102</v>
      </c>
      <c r="Q18" s="496"/>
      <c r="R18" s="496">
        <v>124586</v>
      </c>
      <c r="S18" s="496"/>
      <c r="T18" s="496"/>
      <c r="U18" s="496"/>
      <c r="V18" s="496"/>
      <c r="W18" s="496"/>
      <c r="X18" s="496"/>
      <c r="Y18" s="496"/>
      <c r="Z18" s="496"/>
      <c r="AA18" s="496"/>
      <c r="AB18" s="496"/>
      <c r="AC18" s="496"/>
      <c r="AD18" s="499">
        <f t="shared" si="0"/>
        <v>872788</v>
      </c>
      <c r="AE18" s="455"/>
      <c r="AF18" s="504"/>
      <c r="AG18" s="615"/>
    </row>
    <row r="19" spans="2:31" ht="16.5" thickBot="1">
      <c r="B19" s="450"/>
      <c r="C19" s="506">
        <f>SUM(C13:C18)</f>
        <v>5161234.8812940605</v>
      </c>
      <c r="D19" s="499"/>
      <c r="E19" s="506">
        <f>SUM(E13:E18)</f>
        <v>87450</v>
      </c>
      <c r="F19" s="499"/>
      <c r="G19" s="506">
        <f>SUM(G13:G18)</f>
        <v>140875</v>
      </c>
      <c r="H19" s="499"/>
      <c r="I19" s="506">
        <f>SUM(I13:I18)</f>
        <v>442276</v>
      </c>
      <c r="J19" s="506">
        <f>SUM(J13:J18)</f>
        <v>0</v>
      </c>
      <c r="K19" s="506">
        <f>SUM(K13:K18)</f>
        <v>17545</v>
      </c>
      <c r="L19" s="506">
        <f>SUM(L13:L18)</f>
        <v>199126</v>
      </c>
      <c r="M19" s="499"/>
      <c r="N19" s="506">
        <f>SUM(N13:N18)</f>
        <v>563666</v>
      </c>
      <c r="O19" s="499"/>
      <c r="P19" s="506">
        <f>SUM(P13:P18)</f>
        <v>20913507</v>
      </c>
      <c r="Q19" s="499"/>
      <c r="R19" s="506">
        <f>SUM(R13:R18)</f>
        <v>3142551</v>
      </c>
      <c r="S19" s="499"/>
      <c r="T19" s="506">
        <f>SUM(T13:T18)</f>
        <v>2248746</v>
      </c>
      <c r="U19" s="499"/>
      <c r="V19" s="506">
        <f>SUM(V13:V18)</f>
        <v>1879654</v>
      </c>
      <c r="W19" s="499"/>
      <c r="X19" s="506">
        <f>SUM(X13:X18)</f>
        <v>69910</v>
      </c>
      <c r="Y19" s="499"/>
      <c r="Z19" s="506">
        <f>SUM(Z13:Z18)</f>
        <v>32639</v>
      </c>
      <c r="AA19" s="499"/>
      <c r="AB19" s="506">
        <f>SUM(AB13:AB18)</f>
        <v>67845</v>
      </c>
      <c r="AC19" s="499"/>
      <c r="AD19" s="506">
        <f>SUM(AD13:AD18)</f>
        <v>34967024.881294064</v>
      </c>
      <c r="AE19" s="455"/>
    </row>
    <row r="20" spans="2:31" s="595" customFormat="1" ht="16.5" thickTop="1">
      <c r="B20" s="633" t="s">
        <v>71</v>
      </c>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row>
    <row r="21" spans="2:33" ht="16.5">
      <c r="B21" s="451" t="str">
        <f>'[3]IS'!A19</f>
        <v>Wages, salaries and employee benefits</v>
      </c>
      <c r="C21" s="496">
        <v>2487966</v>
      </c>
      <c r="D21" s="496"/>
      <c r="E21" s="496">
        <v>54962</v>
      </c>
      <c r="F21" s="496"/>
      <c r="G21" s="496">
        <v>84220</v>
      </c>
      <c r="H21" s="496"/>
      <c r="I21" s="496">
        <v>25481</v>
      </c>
      <c r="J21" s="496"/>
      <c r="K21" s="785">
        <v>29745</v>
      </c>
      <c r="L21" s="496">
        <v>54712</v>
      </c>
      <c r="M21" s="496"/>
      <c r="N21" s="496">
        <v>95420</v>
      </c>
      <c r="O21" s="496"/>
      <c r="P21" s="496">
        <f>17745621+999967</f>
        <v>18745588</v>
      </c>
      <c r="Q21" s="496"/>
      <c r="R21" s="496">
        <v>2987462</v>
      </c>
      <c r="S21" s="496"/>
      <c r="T21" s="496">
        <v>354151</v>
      </c>
      <c r="U21" s="496"/>
      <c r="V21" s="496">
        <f>105484-33077</f>
        <v>72407</v>
      </c>
      <c r="W21" s="496"/>
      <c r="X21" s="496">
        <v>27501</v>
      </c>
      <c r="Y21" s="496"/>
      <c r="Z21" s="496">
        <v>11458</v>
      </c>
      <c r="AA21" s="496"/>
      <c r="AB21" s="496">
        <v>66542</v>
      </c>
      <c r="AC21" s="496"/>
      <c r="AD21" s="499">
        <f>SUM(C21:AB21)</f>
        <v>25097615</v>
      </c>
      <c r="AF21" s="504"/>
      <c r="AG21" s="786"/>
    </row>
    <row r="22" spans="2:33" ht="16.5">
      <c r="B22" s="451" t="str">
        <f>'[3]IS'!A20</f>
        <v>Supplies and consumables used</v>
      </c>
      <c r="C22" s="496">
        <f>354610+1565098</f>
        <v>1919708</v>
      </c>
      <c r="D22" s="496"/>
      <c r="E22" s="496">
        <v>79465</v>
      </c>
      <c r="F22" s="496"/>
      <c r="G22" s="661">
        <v>125101</v>
      </c>
      <c r="H22" s="496"/>
      <c r="I22" s="496">
        <v>25647</v>
      </c>
      <c r="J22" s="496"/>
      <c r="K22" s="496">
        <v>20155</v>
      </c>
      <c r="L22" s="496">
        <v>57453</v>
      </c>
      <c r="M22" s="496"/>
      <c r="N22" s="661">
        <v>75412</v>
      </c>
      <c r="O22" s="496"/>
      <c r="P22" s="661">
        <f>1254862+773436+605484</f>
        <v>2633782</v>
      </c>
      <c r="Q22" s="496"/>
      <c r="R22" s="661">
        <f>697454+254831</f>
        <v>952285</v>
      </c>
      <c r="S22" s="496"/>
      <c r="T22" s="661">
        <v>58465</v>
      </c>
      <c r="U22" s="496"/>
      <c r="V22" s="496">
        <v>35415</v>
      </c>
      <c r="W22" s="496"/>
      <c r="X22" s="496">
        <v>8942</v>
      </c>
      <c r="Y22" s="496"/>
      <c r="Z22" s="496">
        <v>4845</v>
      </c>
      <c r="AA22" s="496"/>
      <c r="AB22" s="496">
        <v>2341</v>
      </c>
      <c r="AC22" s="496"/>
      <c r="AD22" s="499">
        <f>SUM(C22:AB22)</f>
        <v>5999016</v>
      </c>
      <c r="AF22" s="497"/>
      <c r="AG22" s="786"/>
    </row>
    <row r="23" spans="2:33" ht="16.5">
      <c r="B23" s="451" t="str">
        <f>'[3]IS'!A21</f>
        <v>Maintenance expenses</v>
      </c>
      <c r="C23" s="496">
        <v>110245</v>
      </c>
      <c r="D23" s="496"/>
      <c r="E23" s="496">
        <v>0</v>
      </c>
      <c r="F23" s="496"/>
      <c r="G23" s="496">
        <v>12451</v>
      </c>
      <c r="H23" s="496"/>
      <c r="I23" s="496">
        <v>0</v>
      </c>
      <c r="J23" s="496"/>
      <c r="K23" s="496">
        <v>0</v>
      </c>
      <c r="L23" s="496">
        <v>2541</v>
      </c>
      <c r="M23" s="496"/>
      <c r="N23" s="496">
        <v>84642</v>
      </c>
      <c r="O23" s="496"/>
      <c r="P23" s="496">
        <v>15480</v>
      </c>
      <c r="Q23" s="496"/>
      <c r="R23" s="496">
        <v>24513</v>
      </c>
      <c r="S23" s="496"/>
      <c r="T23" s="496">
        <f>478213-38733</f>
        <v>439480</v>
      </c>
      <c r="U23" s="496"/>
      <c r="V23" s="496">
        <v>768883</v>
      </c>
      <c r="W23" s="496"/>
      <c r="X23" s="496">
        <v>0</v>
      </c>
      <c r="Y23" s="496"/>
      <c r="Z23" s="496">
        <v>0</v>
      </c>
      <c r="AA23" s="496"/>
      <c r="AB23" s="496">
        <v>0</v>
      </c>
      <c r="AC23" s="496"/>
      <c r="AD23" s="499">
        <f>SUM(C23:AB23)</f>
        <v>1458235</v>
      </c>
      <c r="AG23" s="786"/>
    </row>
    <row r="24" spans="2:33" ht="16.5">
      <c r="B24" s="468" t="s">
        <v>2080</v>
      </c>
      <c r="C24" s="615">
        <v>127546</v>
      </c>
      <c r="D24" s="496"/>
      <c r="E24" s="496">
        <v>0</v>
      </c>
      <c r="F24" s="496"/>
      <c r="G24" s="496">
        <v>0</v>
      </c>
      <c r="H24" s="496"/>
      <c r="I24" s="496">
        <v>0</v>
      </c>
      <c r="J24" s="496"/>
      <c r="K24" s="496"/>
      <c r="L24" s="496">
        <v>0</v>
      </c>
      <c r="M24" s="496"/>
      <c r="N24" s="496">
        <v>0</v>
      </c>
      <c r="O24" s="496"/>
      <c r="P24" s="496">
        <v>0</v>
      </c>
      <c r="Q24" s="496"/>
      <c r="R24" s="496"/>
      <c r="S24" s="496"/>
      <c r="T24" s="496">
        <v>0</v>
      </c>
      <c r="U24" s="496"/>
      <c r="V24" s="496">
        <v>0</v>
      </c>
      <c r="W24" s="496"/>
      <c r="X24" s="496">
        <v>0</v>
      </c>
      <c r="Y24" s="496"/>
      <c r="Z24" s="496">
        <v>0</v>
      </c>
      <c r="AA24" s="496"/>
      <c r="AB24" s="496">
        <v>0</v>
      </c>
      <c r="AC24" s="496"/>
      <c r="AD24" s="499">
        <v>0</v>
      </c>
      <c r="AF24" s="504"/>
      <c r="AG24" s="786"/>
    </row>
    <row r="25" spans="2:30" ht="15.75">
      <c r="B25" s="451" t="str">
        <f>'[3]IS'!A23</f>
        <v>Depreciation of property, plant and equipment</v>
      </c>
      <c r="C25" s="496">
        <f>PPE1!Q27</f>
        <v>2406803.881294061</v>
      </c>
      <c r="D25" s="496"/>
      <c r="E25" s="496">
        <v>0</v>
      </c>
      <c r="F25" s="496"/>
      <c r="G25" s="496">
        <v>0</v>
      </c>
      <c r="H25" s="496"/>
      <c r="I25" s="496">
        <v>0</v>
      </c>
      <c r="J25" s="496"/>
      <c r="K25" s="496"/>
      <c r="L25" s="496">
        <v>0</v>
      </c>
      <c r="M25" s="496"/>
      <c r="N25" s="496">
        <v>0</v>
      </c>
      <c r="O25" s="496"/>
      <c r="P25" s="496">
        <v>0</v>
      </c>
      <c r="Q25" s="496"/>
      <c r="R25" s="496">
        <v>0</v>
      </c>
      <c r="S25" s="496"/>
      <c r="T25" s="496">
        <v>0</v>
      </c>
      <c r="U25" s="496"/>
      <c r="V25" s="496">
        <v>0</v>
      </c>
      <c r="W25" s="496"/>
      <c r="X25" s="496">
        <v>0</v>
      </c>
      <c r="Y25" s="496"/>
      <c r="Z25" s="496">
        <v>0</v>
      </c>
      <c r="AA25" s="496"/>
      <c r="AB25" s="496">
        <v>0</v>
      </c>
      <c r="AC25" s="496"/>
      <c r="AD25" s="499">
        <f>SUM(C25:AB25)</f>
        <v>2406803.881294061</v>
      </c>
    </row>
    <row r="26" spans="3:32" s="448" customFormat="1" ht="16.5" thickBot="1">
      <c r="C26" s="506">
        <f>SUM(C21:C25)</f>
        <v>7052268.8812940605</v>
      </c>
      <c r="D26" s="499"/>
      <c r="E26" s="506">
        <f>SUM(E21:E25)</f>
        <v>134427</v>
      </c>
      <c r="F26" s="499"/>
      <c r="G26" s="506">
        <f>SUM(G21:G25)</f>
        <v>221772</v>
      </c>
      <c r="H26" s="499"/>
      <c r="I26" s="506">
        <f>SUM(I21:I25)</f>
        <v>51128</v>
      </c>
      <c r="J26" s="506">
        <f>SUM(J21:J25)</f>
        <v>0</v>
      </c>
      <c r="K26" s="506">
        <f>SUM(K21:K25)</f>
        <v>49900</v>
      </c>
      <c r="L26" s="506">
        <f>SUM(L21:L25)</f>
        <v>114706</v>
      </c>
      <c r="M26" s="499"/>
      <c r="N26" s="506">
        <f>SUM(N21:N25)</f>
        <v>255474</v>
      </c>
      <c r="O26" s="499"/>
      <c r="P26" s="506">
        <f>SUM(P21:P25)</f>
        <v>21394850</v>
      </c>
      <c r="Q26" s="499"/>
      <c r="R26" s="506">
        <f>SUM(R21:R25)</f>
        <v>3964260</v>
      </c>
      <c r="S26" s="499"/>
      <c r="T26" s="506">
        <f>SUM(T21:T25)</f>
        <v>852096</v>
      </c>
      <c r="U26" s="499"/>
      <c r="V26" s="506">
        <f>SUM(V21:V25)</f>
        <v>876705</v>
      </c>
      <c r="W26" s="499"/>
      <c r="X26" s="506">
        <f>SUM(X21:X25)</f>
        <v>36443</v>
      </c>
      <c r="Y26" s="499"/>
      <c r="Z26" s="506">
        <f>SUM(Z21:Z25)</f>
        <v>16303</v>
      </c>
      <c r="AA26" s="499"/>
      <c r="AB26" s="506">
        <f>SUM(AB21:AB25)</f>
        <v>68883</v>
      </c>
      <c r="AC26" s="499"/>
      <c r="AD26" s="506">
        <f>SUM(AD21:AD25)</f>
        <v>34961669.881294064</v>
      </c>
      <c r="AE26" s="455"/>
      <c r="AF26" s="502"/>
    </row>
    <row r="27" spans="3:32" ht="16.5" thickTop="1">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9"/>
      <c r="AF27" s="615"/>
    </row>
    <row r="28" spans="2:32" ht="15.75">
      <c r="B28" s="490" t="s">
        <v>2085</v>
      </c>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9"/>
      <c r="AF28" s="615"/>
    </row>
    <row r="29" spans="2:31" ht="15.75">
      <c r="B29" s="445" t="s">
        <v>1084</v>
      </c>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c r="AC29" s="455"/>
      <c r="AE29" s="455"/>
    </row>
    <row r="30" spans="2:32" ht="15.75">
      <c r="B30" s="450" t="s">
        <v>372</v>
      </c>
      <c r="C30" s="496"/>
      <c r="D30" s="496"/>
      <c r="E30" s="496"/>
      <c r="F30" s="496"/>
      <c r="G30" s="496"/>
      <c r="H30" s="496"/>
      <c r="I30" s="496">
        <v>171437</v>
      </c>
      <c r="J30" s="496"/>
      <c r="K30" s="496"/>
      <c r="L30" s="496"/>
      <c r="M30" s="496"/>
      <c r="N30" s="496">
        <v>536820</v>
      </c>
      <c r="O30" s="496"/>
      <c r="P30" s="496"/>
      <c r="Q30" s="496"/>
      <c r="R30" s="496"/>
      <c r="S30" s="496"/>
      <c r="T30" s="496"/>
      <c r="U30" s="496"/>
      <c r="V30" s="496"/>
      <c r="W30" s="496"/>
      <c r="X30" s="496">
        <v>28478</v>
      </c>
      <c r="Y30" s="496"/>
      <c r="Z30" s="496"/>
      <c r="AA30" s="496"/>
      <c r="AB30" s="496"/>
      <c r="AC30" s="496"/>
      <c r="AD30" s="499">
        <f aca="true" t="shared" si="1" ref="AD30:AD35">SUM(C30:AB30)</f>
        <v>736735</v>
      </c>
      <c r="AE30" s="455"/>
      <c r="AF30" s="615"/>
    </row>
    <row r="31" spans="2:32" ht="15.75">
      <c r="B31" s="450" t="s">
        <v>438</v>
      </c>
      <c r="C31" s="496">
        <v>273621</v>
      </c>
      <c r="D31" s="496"/>
      <c r="E31" s="496"/>
      <c r="F31" s="496"/>
      <c r="G31" s="496">
        <v>15472</v>
      </c>
      <c r="H31" s="496"/>
      <c r="I31" s="496">
        <v>25423</v>
      </c>
      <c r="J31" s="496"/>
      <c r="K31" s="496"/>
      <c r="L31" s="496">
        <v>20000</v>
      </c>
      <c r="M31" s="496"/>
      <c r="N31" s="496">
        <v>86902</v>
      </c>
      <c r="O31" s="496"/>
      <c r="P31" s="496"/>
      <c r="Q31" s="496"/>
      <c r="R31" s="496"/>
      <c r="S31" s="496"/>
      <c r="T31" s="496"/>
      <c r="U31" s="496"/>
      <c r="V31" s="496"/>
      <c r="W31" s="496"/>
      <c r="X31" s="496"/>
      <c r="Y31" s="496"/>
      <c r="Z31" s="496">
        <v>14520</v>
      </c>
      <c r="AA31" s="496"/>
      <c r="AB31" s="496"/>
      <c r="AC31" s="496"/>
      <c r="AD31" s="499">
        <f t="shared" si="1"/>
        <v>435938</v>
      </c>
      <c r="AE31" s="455"/>
      <c r="AF31" s="615"/>
    </row>
    <row r="32" spans="2:31" ht="15.75">
      <c r="B32" s="447" t="s">
        <v>748</v>
      </c>
      <c r="C32" s="496">
        <v>1922499</v>
      </c>
      <c r="D32" s="496"/>
      <c r="E32" s="496">
        <v>67478</v>
      </c>
      <c r="F32" s="496"/>
      <c r="G32" s="496">
        <v>114010</v>
      </c>
      <c r="H32" s="496"/>
      <c r="I32" s="496">
        <v>120540</v>
      </c>
      <c r="J32" s="496"/>
      <c r="K32" s="496">
        <v>15120</v>
      </c>
      <c r="L32" s="496">
        <v>52410</v>
      </c>
      <c r="M32" s="496"/>
      <c r="N32" s="496">
        <v>187450</v>
      </c>
      <c r="O32" s="496"/>
      <c r="P32" s="496">
        <v>13479129</v>
      </c>
      <c r="Q32" s="496"/>
      <c r="R32" s="496">
        <v>3916408</v>
      </c>
      <c r="S32" s="496"/>
      <c r="T32" s="496">
        <v>2260312</v>
      </c>
      <c r="U32" s="496"/>
      <c r="V32" s="496">
        <v>1848752</v>
      </c>
      <c r="W32" s="496"/>
      <c r="X32" s="496">
        <v>42571</v>
      </c>
      <c r="Y32" s="496"/>
      <c r="Z32" s="496">
        <v>19742</v>
      </c>
      <c r="AA32" s="496"/>
      <c r="AB32" s="496">
        <v>72148</v>
      </c>
      <c r="AC32" s="496"/>
      <c r="AD32" s="499">
        <f t="shared" si="1"/>
        <v>24118569</v>
      </c>
      <c r="AE32" s="455"/>
    </row>
    <row r="33" spans="2:31" ht="15.75">
      <c r="B33" s="464" t="s">
        <v>439</v>
      </c>
      <c r="C33" s="496">
        <v>29409</v>
      </c>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9">
        <f t="shared" si="1"/>
        <v>29409</v>
      </c>
      <c r="AE33" s="455"/>
    </row>
    <row r="34" spans="2:31" ht="15.75">
      <c r="B34" s="464" t="s">
        <v>1831</v>
      </c>
      <c r="C34" s="496">
        <v>1683293.7045707589</v>
      </c>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9">
        <f t="shared" si="1"/>
        <v>1683293.7045707589</v>
      </c>
      <c r="AE34" s="455"/>
    </row>
    <row r="35" spans="2:31" ht="15.75">
      <c r="B35" s="450" t="s">
        <v>1866</v>
      </c>
      <c r="C35" s="496">
        <v>530620</v>
      </c>
      <c r="D35" s="496"/>
      <c r="E35" s="496"/>
      <c r="F35" s="496"/>
      <c r="G35" s="496">
        <v>10245</v>
      </c>
      <c r="H35" s="496"/>
      <c r="I35" s="496"/>
      <c r="J35" s="496"/>
      <c r="K35" s="496"/>
      <c r="L35" s="496"/>
      <c r="M35" s="496"/>
      <c r="N35" s="496"/>
      <c r="O35" s="496"/>
      <c r="P35" s="496">
        <v>389624</v>
      </c>
      <c r="Q35" s="496"/>
      <c r="R35" s="496">
        <v>98745</v>
      </c>
      <c r="S35" s="496"/>
      <c r="T35" s="496"/>
      <c r="U35" s="496"/>
      <c r="V35" s="496"/>
      <c r="W35" s="496"/>
      <c r="X35" s="496"/>
      <c r="Y35" s="496"/>
      <c r="Z35" s="496"/>
      <c r="AA35" s="496"/>
      <c r="AB35" s="496"/>
      <c r="AC35" s="496"/>
      <c r="AD35" s="499">
        <f t="shared" si="1"/>
        <v>1029234</v>
      </c>
      <c r="AE35" s="455"/>
    </row>
    <row r="36" spans="2:31" ht="16.5" thickBot="1">
      <c r="B36" s="450"/>
      <c r="C36" s="506">
        <v>4107408.4005153</v>
      </c>
      <c r="D36" s="499"/>
      <c r="E36" s="506">
        <v>69745</v>
      </c>
      <c r="F36" s="499"/>
      <c r="G36" s="506">
        <v>193095</v>
      </c>
      <c r="H36" s="499"/>
      <c r="I36" s="506">
        <v>153030</v>
      </c>
      <c r="J36" s="506">
        <v>153030</v>
      </c>
      <c r="K36" s="506">
        <v>0</v>
      </c>
      <c r="L36" s="506">
        <v>378078</v>
      </c>
      <c r="M36" s="499"/>
      <c r="N36" s="506">
        <v>393020</v>
      </c>
      <c r="O36" s="499"/>
      <c r="P36" s="506">
        <v>13208916</v>
      </c>
      <c r="Q36" s="499"/>
      <c r="R36" s="506">
        <v>3204327</v>
      </c>
      <c r="S36" s="499"/>
      <c r="T36" s="506">
        <v>547846</v>
      </c>
      <c r="U36" s="499"/>
      <c r="V36" s="506">
        <v>909280</v>
      </c>
      <c r="W36" s="499"/>
      <c r="X36" s="506">
        <v>27508</v>
      </c>
      <c r="Y36" s="499"/>
      <c r="Z36" s="506">
        <v>11452</v>
      </c>
      <c r="AA36" s="499"/>
      <c r="AB36" s="506">
        <v>35478</v>
      </c>
      <c r="AC36" s="499"/>
      <c r="AD36" s="506">
        <f>SUM(AD30:AD35)</f>
        <v>28033178.70457076</v>
      </c>
      <c r="AE36" s="455"/>
    </row>
    <row r="37" spans="2:31" s="595" customFormat="1" ht="16.5" thickTop="1">
      <c r="B37" s="633" t="s">
        <v>71</v>
      </c>
      <c r="C37" s="649"/>
      <c r="D37" s="649"/>
      <c r="E37" s="649"/>
      <c r="F37" s="649"/>
      <c r="G37" s="649"/>
      <c r="H37" s="649"/>
      <c r="I37" s="649"/>
      <c r="J37" s="649"/>
      <c r="K37" s="649"/>
      <c r="L37" s="649"/>
      <c r="M37" s="649"/>
      <c r="N37" s="649"/>
      <c r="O37" s="649"/>
      <c r="P37" s="649"/>
      <c r="Q37" s="649"/>
      <c r="R37" s="649"/>
      <c r="S37" s="649"/>
      <c r="T37" s="649"/>
      <c r="U37" s="649"/>
      <c r="V37" s="649"/>
      <c r="W37" s="649"/>
      <c r="X37" s="649"/>
      <c r="Y37" s="649"/>
      <c r="Z37" s="649"/>
      <c r="AA37" s="649"/>
      <c r="AB37" s="649"/>
      <c r="AC37" s="649"/>
      <c r="AD37" s="499">
        <f aca="true" t="shared" si="2" ref="AD37:AD42">SUM(C37:AB37)</f>
        <v>0</v>
      </c>
      <c r="AE37" s="631"/>
    </row>
    <row r="38" spans="2:32" ht="15.75">
      <c r="B38" s="451" t="s">
        <v>705</v>
      </c>
      <c r="C38" s="496">
        <v>2579461</v>
      </c>
      <c r="D38" s="496"/>
      <c r="E38" s="496">
        <v>65842</v>
      </c>
      <c r="F38" s="496"/>
      <c r="G38" s="496">
        <v>35422</v>
      </c>
      <c r="H38" s="496"/>
      <c r="I38" s="496">
        <v>25481</v>
      </c>
      <c r="J38" s="496"/>
      <c r="K38" s="496">
        <v>29745</v>
      </c>
      <c r="L38" s="496">
        <v>54712</v>
      </c>
      <c r="M38" s="496"/>
      <c r="N38" s="496">
        <v>95420</v>
      </c>
      <c r="O38" s="496"/>
      <c r="P38" s="496">
        <v>14481880</v>
      </c>
      <c r="Q38" s="496"/>
      <c r="R38" s="496">
        <v>3794456</v>
      </c>
      <c r="S38" s="496"/>
      <c r="T38" s="496">
        <v>145004</v>
      </c>
      <c r="U38" s="496"/>
      <c r="V38" s="496">
        <v>72407</v>
      </c>
      <c r="W38" s="496"/>
      <c r="X38" s="496">
        <v>27501</v>
      </c>
      <c r="Y38" s="496"/>
      <c r="Z38" s="496">
        <v>13245</v>
      </c>
      <c r="AA38" s="496"/>
      <c r="AB38" s="496">
        <v>71542</v>
      </c>
      <c r="AC38" s="496"/>
      <c r="AD38" s="499">
        <f t="shared" si="2"/>
        <v>21492118</v>
      </c>
      <c r="AF38" s="492"/>
    </row>
    <row r="39" spans="2:32" ht="15.75">
      <c r="B39" s="451" t="s">
        <v>436</v>
      </c>
      <c r="C39" s="496">
        <v>250884</v>
      </c>
      <c r="D39" s="496"/>
      <c r="E39" s="496">
        <v>56248</v>
      </c>
      <c r="F39" s="496"/>
      <c r="G39" s="496">
        <v>85621</v>
      </c>
      <c r="H39" s="496"/>
      <c r="I39" s="496">
        <v>12458</v>
      </c>
      <c r="J39" s="496"/>
      <c r="K39" s="496">
        <v>16094</v>
      </c>
      <c r="L39" s="496">
        <v>33145</v>
      </c>
      <c r="M39" s="496"/>
      <c r="N39" s="496">
        <v>48261</v>
      </c>
      <c r="O39" s="496"/>
      <c r="P39" s="496">
        <v>1182390.495</v>
      </c>
      <c r="Q39" s="496"/>
      <c r="R39" s="496">
        <v>574773.02801</v>
      </c>
      <c r="S39" s="496"/>
      <c r="T39" s="496">
        <v>214215</v>
      </c>
      <c r="U39" s="496"/>
      <c r="V39" s="496">
        <v>78451</v>
      </c>
      <c r="W39" s="496"/>
      <c r="X39" s="496">
        <v>12024</v>
      </c>
      <c r="Y39" s="496"/>
      <c r="Z39" s="496">
        <v>4526</v>
      </c>
      <c r="AA39" s="496"/>
      <c r="AB39" s="496">
        <v>1245</v>
      </c>
      <c r="AC39" s="496"/>
      <c r="AD39" s="499">
        <f t="shared" si="2"/>
        <v>2570335.52301</v>
      </c>
      <c r="AF39" s="492"/>
    </row>
    <row r="40" spans="2:32" ht="15.75">
      <c r="B40" s="451" t="s">
        <v>120</v>
      </c>
      <c r="C40" s="496">
        <v>124506</v>
      </c>
      <c r="D40" s="496"/>
      <c r="E40" s="496">
        <v>21450</v>
      </c>
      <c r="F40" s="496"/>
      <c r="G40" s="496">
        <v>25410</v>
      </c>
      <c r="H40" s="496"/>
      <c r="I40" s="496">
        <v>2488</v>
      </c>
      <c r="J40" s="496"/>
      <c r="K40" s="496">
        <v>2412</v>
      </c>
      <c r="L40" s="496">
        <v>12456</v>
      </c>
      <c r="M40" s="496"/>
      <c r="N40" s="496">
        <v>227307</v>
      </c>
      <c r="O40" s="496"/>
      <c r="P40" s="496">
        <v>92451</v>
      </c>
      <c r="Q40" s="496"/>
      <c r="R40" s="496">
        <v>78452</v>
      </c>
      <c r="S40" s="496"/>
      <c r="T40" s="496">
        <v>703485</v>
      </c>
      <c r="U40" s="496"/>
      <c r="V40" s="496">
        <v>987451</v>
      </c>
      <c r="W40" s="496"/>
      <c r="X40" s="496">
        <v>3254</v>
      </c>
      <c r="Y40" s="496"/>
      <c r="Z40" s="496">
        <v>2145</v>
      </c>
      <c r="AA40" s="496"/>
      <c r="AB40" s="496">
        <v>1542</v>
      </c>
      <c r="AC40" s="496"/>
      <c r="AD40" s="499">
        <f t="shared" si="2"/>
        <v>2284809</v>
      </c>
      <c r="AF40" s="492"/>
    </row>
    <row r="41" spans="2:32" ht="15.75">
      <c r="B41" s="451" t="s">
        <v>2080</v>
      </c>
      <c r="C41" s="496">
        <v>127546</v>
      </c>
      <c r="D41" s="496"/>
      <c r="E41" s="496">
        <v>0</v>
      </c>
      <c r="F41" s="496"/>
      <c r="G41" s="496">
        <v>0</v>
      </c>
      <c r="H41" s="496"/>
      <c r="I41" s="496">
        <v>0</v>
      </c>
      <c r="J41" s="496"/>
      <c r="K41" s="496"/>
      <c r="L41" s="496">
        <v>0</v>
      </c>
      <c r="M41" s="496"/>
      <c r="N41" s="496">
        <v>0</v>
      </c>
      <c r="O41" s="496"/>
      <c r="P41" s="496">
        <v>0</v>
      </c>
      <c r="Q41" s="496"/>
      <c r="R41" s="496"/>
      <c r="S41" s="496"/>
      <c r="T41" s="496">
        <v>0</v>
      </c>
      <c r="U41" s="496"/>
      <c r="V41" s="496">
        <v>0</v>
      </c>
      <c r="W41" s="496"/>
      <c r="X41" s="496">
        <v>0</v>
      </c>
      <c r="Y41" s="496"/>
      <c r="Z41" s="496">
        <v>0</v>
      </c>
      <c r="AA41" s="496"/>
      <c r="AB41" s="496">
        <v>0</v>
      </c>
      <c r="AC41" s="496"/>
      <c r="AD41" s="499">
        <f t="shared" si="2"/>
        <v>127546</v>
      </c>
      <c r="AF41" s="492"/>
    </row>
    <row r="42" spans="2:30" ht="15.75">
      <c r="B42" s="451" t="s">
        <v>587</v>
      </c>
      <c r="C42" s="496">
        <f>C34</f>
        <v>1683293.7045707589</v>
      </c>
      <c r="D42" s="496"/>
      <c r="E42" s="496">
        <v>0</v>
      </c>
      <c r="F42" s="496"/>
      <c r="G42" s="496">
        <v>0</v>
      </c>
      <c r="H42" s="496"/>
      <c r="I42" s="496">
        <v>0</v>
      </c>
      <c r="J42" s="496"/>
      <c r="K42" s="496"/>
      <c r="L42" s="496">
        <v>0</v>
      </c>
      <c r="M42" s="496"/>
      <c r="N42" s="496">
        <v>0</v>
      </c>
      <c r="O42" s="496"/>
      <c r="P42" s="496">
        <v>0</v>
      </c>
      <c r="Q42" s="496"/>
      <c r="R42" s="496">
        <v>0</v>
      </c>
      <c r="S42" s="496"/>
      <c r="T42" s="496">
        <v>0</v>
      </c>
      <c r="U42" s="496"/>
      <c r="V42" s="496">
        <v>0</v>
      </c>
      <c r="W42" s="496"/>
      <c r="X42" s="496">
        <v>0</v>
      </c>
      <c r="Y42" s="496"/>
      <c r="Z42" s="496">
        <v>0</v>
      </c>
      <c r="AA42" s="496"/>
      <c r="AB42" s="496">
        <v>0</v>
      </c>
      <c r="AC42" s="496"/>
      <c r="AD42" s="499">
        <f t="shared" si="2"/>
        <v>1683293.7045707589</v>
      </c>
    </row>
    <row r="43" spans="3:31" s="448" customFormat="1" ht="16.5" thickBot="1">
      <c r="C43" s="506">
        <f>SUM(C38:C42)</f>
        <v>4765690.704570759</v>
      </c>
      <c r="D43" s="499"/>
      <c r="E43" s="506">
        <v>180657</v>
      </c>
      <c r="F43" s="499"/>
      <c r="G43" s="506">
        <v>319081</v>
      </c>
      <c r="H43" s="499"/>
      <c r="I43" s="506">
        <v>52772</v>
      </c>
      <c r="J43" s="506">
        <v>52772</v>
      </c>
      <c r="K43" s="506">
        <v>0</v>
      </c>
      <c r="L43" s="506">
        <v>501851</v>
      </c>
      <c r="M43" s="499"/>
      <c r="N43" s="506">
        <v>748852</v>
      </c>
      <c r="O43" s="499"/>
      <c r="P43" s="506">
        <v>13918783</v>
      </c>
      <c r="Q43" s="499"/>
      <c r="R43" s="506">
        <v>3653790</v>
      </c>
      <c r="S43" s="499"/>
      <c r="T43" s="506">
        <v>1018323</v>
      </c>
      <c r="U43" s="499"/>
      <c r="V43" s="506">
        <v>871576</v>
      </c>
      <c r="W43" s="499"/>
      <c r="X43" s="506">
        <v>81458</v>
      </c>
      <c r="Y43" s="499"/>
      <c r="Z43" s="506">
        <v>50962</v>
      </c>
      <c r="AA43" s="499"/>
      <c r="AB43" s="506">
        <v>102751</v>
      </c>
      <c r="AC43" s="499"/>
      <c r="AD43" s="506">
        <v>24156910.4005153</v>
      </c>
      <c r="AE43" s="455"/>
    </row>
    <row r="44" ht="16.5" thickTop="1"/>
    <row r="47" ht="15.75">
      <c r="X47" s="660"/>
    </row>
    <row r="57" ht="15.75">
      <c r="P57" s="446" t="s">
        <v>163</v>
      </c>
    </row>
  </sheetData>
  <sheetProtection/>
  <printOptions/>
  <pageMargins left="0.28" right="0.2" top="0.49" bottom="0.73" header="0.3" footer="0.28"/>
  <pageSetup firstPageNumber="38" useFirstPageNumber="1" horizontalDpi="600" verticalDpi="600" orientation="landscape" paperSize="8" scale="83"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dimension ref="A1:AH59"/>
  <sheetViews>
    <sheetView zoomScalePageLayoutView="0" workbookViewId="0" topLeftCell="O9">
      <selection activeCell="X17" sqref="X17"/>
    </sheetView>
  </sheetViews>
  <sheetFormatPr defaultColWidth="8.00390625" defaultRowHeight="15.75"/>
  <cols>
    <col min="1" max="1" width="4.625" style="451" customWidth="1"/>
    <col min="2" max="2" width="32.50390625" style="451" customWidth="1"/>
    <col min="3" max="3" width="12.625" style="446" customWidth="1"/>
    <col min="4" max="4" width="0.875" style="446" customWidth="1"/>
    <col min="5" max="5" width="12.625" style="446" customWidth="1"/>
    <col min="6" max="6" width="0.875" style="446" customWidth="1"/>
    <col min="7" max="7" width="12.00390625" style="446" customWidth="1"/>
    <col min="8" max="8" width="1.00390625" style="446" customWidth="1"/>
    <col min="9" max="9" width="12.625" style="446" customWidth="1"/>
    <col min="10" max="10" width="0.875" style="446" customWidth="1"/>
    <col min="11" max="11" width="8.00390625" style="446" customWidth="1"/>
    <col min="12" max="12" width="12.625" style="446" customWidth="1"/>
    <col min="13" max="13" width="0.875" style="446" customWidth="1"/>
    <col min="14" max="14" width="12.25390625" style="446" customWidth="1"/>
    <col min="15" max="15" width="0.875" style="446" customWidth="1"/>
    <col min="16" max="16" width="12.25390625" style="446" customWidth="1"/>
    <col min="17" max="17" width="0.875" style="446" customWidth="1"/>
    <col min="18" max="18" width="12.625" style="446" customWidth="1"/>
    <col min="19" max="19" width="0.875" style="446" customWidth="1"/>
    <col min="20" max="20" width="12.375" style="446" customWidth="1"/>
    <col min="21" max="21" width="0.875" style="446" customWidth="1"/>
    <col min="22" max="22" width="11.875" style="446" customWidth="1"/>
    <col min="23" max="23" width="0.875" style="446" customWidth="1"/>
    <col min="24" max="24" width="12.625" style="446" customWidth="1"/>
    <col min="25" max="25" width="0.875" style="446" customWidth="1"/>
    <col min="26" max="26" width="12.625" style="446" customWidth="1"/>
    <col min="27" max="27" width="0.6171875" style="446" customWidth="1"/>
    <col min="28" max="28" width="12.625" style="446" customWidth="1"/>
    <col min="29" max="29" width="0.875" style="446" customWidth="1"/>
    <col min="30" max="30" width="12.625" style="455" customWidth="1"/>
    <col min="31" max="31" width="0.875" style="446" customWidth="1"/>
    <col min="32" max="32" width="13.875" style="451" customWidth="1"/>
    <col min="33" max="33" width="15.75390625" style="451" customWidth="1"/>
    <col min="34" max="53" width="19.375" style="451" customWidth="1"/>
    <col min="54" max="16384" width="8.00390625" style="451" customWidth="1"/>
  </cols>
  <sheetData>
    <row r="1" spans="1:31" s="448" customFormat="1" ht="15.75">
      <c r="A1" s="448" t="str">
        <f>Notes!A1</f>
        <v>THE UNITED REPUBLIC OF TANZANIA</v>
      </c>
      <c r="B1" s="477"/>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row>
    <row r="2" spans="1:31" s="448" customFormat="1" ht="15.75">
      <c r="A2" s="448" t="str">
        <f>Notes!A2</f>
        <v>PRRESIDENT’S OFFICE - REGIONAL ADMINISTRATION AND LOCAL GOVERNMENT</v>
      </c>
      <c r="B2" s="453"/>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row>
    <row r="3" spans="1:31" s="448" customFormat="1" ht="15.75">
      <c r="A3" s="448" t="str">
        <f>Notes!A3</f>
        <v>BABATI DISTRICT COUNCIL</v>
      </c>
      <c r="B3" s="453"/>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row>
    <row r="4" spans="2:31" s="448" customFormat="1" ht="15.75">
      <c r="B4" s="453"/>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row>
    <row r="5" spans="1:31" s="448" customFormat="1" ht="15.75">
      <c r="A5" s="448" t="str">
        <f>Notes!A5</f>
        <v>NOTES TO THE FINANCIAL STATEMENTS (Continued)</v>
      </c>
      <c r="B5" s="477"/>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row>
    <row r="6" spans="1:31" s="448" customFormat="1" ht="15.75">
      <c r="A6" s="448" t="str">
        <f>Notes!A6</f>
        <v>FOR THE YEAR ENDED 30 JUNE 2016</v>
      </c>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row>
    <row r="7" spans="3:31" s="448" customFormat="1" ht="15.7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row>
    <row r="8" spans="1:31" s="448" customFormat="1" ht="15.75">
      <c r="A8" s="510">
        <f>Notes!A98+2</f>
        <v>26</v>
      </c>
      <c r="B8" s="477" t="s">
        <v>247</v>
      </c>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row>
    <row r="9" spans="3:31" s="470" customFormat="1" ht="62.25" customHeight="1">
      <c r="C9" s="685" t="str">
        <f>'IS-F'!A21</f>
        <v>Administration</v>
      </c>
      <c r="D9" s="686"/>
      <c r="E9" s="685" t="str">
        <f>'IS-F'!A22</f>
        <v>Human resource management and development</v>
      </c>
      <c r="F9" s="686"/>
      <c r="G9" s="685" t="str">
        <f>'IS-F'!A23</f>
        <v>Finance</v>
      </c>
      <c r="H9" s="686"/>
      <c r="I9" s="685" t="str">
        <f>'IS-F'!A24</f>
        <v>Trade and economic affairs</v>
      </c>
      <c r="J9" s="686"/>
      <c r="K9" s="685" t="s">
        <v>1054</v>
      </c>
      <c r="L9" s="685" t="str">
        <f>'IS-F'!A25</f>
        <v>Livestock</v>
      </c>
      <c r="M9" s="686"/>
      <c r="N9" s="685" t="str">
        <f>'IS-F'!A27</f>
        <v>Agriculture</v>
      </c>
      <c r="O9" s="686"/>
      <c r="P9" s="685" t="str">
        <f>'IS-F'!A28</f>
        <v>Education</v>
      </c>
      <c r="Q9" s="686"/>
      <c r="R9" s="685" t="str">
        <f>'IS-F'!A29</f>
        <v>Primary health services</v>
      </c>
      <c r="S9" s="686"/>
      <c r="T9" s="685" t="str">
        <f>'IS-F'!A30</f>
        <v>Water</v>
      </c>
      <c r="U9" s="686"/>
      <c r="V9" s="685" t="str">
        <f>'IS-F'!A31</f>
        <v>Works</v>
      </c>
      <c r="W9" s="686"/>
      <c r="X9" s="685" t="str">
        <f>'IS-F'!A32</f>
        <v>Lands</v>
      </c>
      <c r="Y9" s="686"/>
      <c r="Z9" s="685" t="str">
        <f>'IS-F'!A33</f>
        <v>Natural resources</v>
      </c>
      <c r="AA9" s="686"/>
      <c r="AB9" s="685" t="str">
        <f>'IS-F'!A34</f>
        <v>Community development, gender and children</v>
      </c>
      <c r="AC9" s="686"/>
      <c r="AD9" s="685" t="s">
        <v>943</v>
      </c>
      <c r="AE9" s="474"/>
    </row>
    <row r="10" spans="2:31" ht="15.75">
      <c r="B10" s="477"/>
      <c r="C10" s="455" t="s">
        <v>1202</v>
      </c>
      <c r="D10" s="455"/>
      <c r="E10" s="455" t="s">
        <v>1202</v>
      </c>
      <c r="F10" s="455"/>
      <c r="G10" s="455" t="s">
        <v>1202</v>
      </c>
      <c r="H10" s="455"/>
      <c r="I10" s="455" t="s">
        <v>1202</v>
      </c>
      <c r="J10" s="455"/>
      <c r="K10" s="455" t="s">
        <v>1202</v>
      </c>
      <c r="L10" s="455" t="s">
        <v>1202</v>
      </c>
      <c r="M10" s="455"/>
      <c r="N10" s="455" t="s">
        <v>1202</v>
      </c>
      <c r="O10" s="455"/>
      <c r="P10" s="455" t="s">
        <v>1202</v>
      </c>
      <c r="Q10" s="455"/>
      <c r="R10" s="455" t="s">
        <v>1202</v>
      </c>
      <c r="S10" s="455"/>
      <c r="T10" s="455" t="s">
        <v>1202</v>
      </c>
      <c r="U10" s="455"/>
      <c r="V10" s="455"/>
      <c r="W10" s="455"/>
      <c r="X10" s="455"/>
      <c r="Y10" s="455"/>
      <c r="Z10" s="455"/>
      <c r="AA10" s="455"/>
      <c r="AB10" s="455" t="s">
        <v>1202</v>
      </c>
      <c r="AC10" s="455"/>
      <c r="AD10" s="455" t="s">
        <v>1202</v>
      </c>
      <c r="AE10" s="455"/>
    </row>
    <row r="11" spans="2:31" ht="15.75">
      <c r="B11" s="490" t="s">
        <v>2403</v>
      </c>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E11" s="455"/>
    </row>
    <row r="12" spans="2:31" ht="15.75">
      <c r="B12" s="445" t="s">
        <v>242</v>
      </c>
      <c r="C12" s="455"/>
      <c r="D12" s="455"/>
      <c r="E12" s="455"/>
      <c r="F12" s="455"/>
      <c r="G12" s="455"/>
      <c r="H12" s="455"/>
      <c r="I12" s="455"/>
      <c r="J12" s="455"/>
      <c r="K12" s="455"/>
      <c r="L12" s="455"/>
      <c r="M12" s="455"/>
      <c r="N12" s="455"/>
      <c r="O12" s="455"/>
      <c r="P12" s="496"/>
      <c r="Q12" s="455"/>
      <c r="R12" s="496"/>
      <c r="S12" s="455"/>
      <c r="T12" s="455"/>
      <c r="U12" s="455"/>
      <c r="V12" s="496"/>
      <c r="W12" s="455"/>
      <c r="X12" s="455"/>
      <c r="Y12" s="455"/>
      <c r="Z12" s="455"/>
      <c r="AA12" s="455"/>
      <c r="AB12" s="455"/>
      <c r="AC12" s="455"/>
      <c r="AE12" s="455"/>
    </row>
    <row r="13" spans="2:33" ht="15.75">
      <c r="B13" s="450" t="s">
        <v>243</v>
      </c>
      <c r="C13" s="496">
        <f>2681888000/1000</f>
        <v>2681888</v>
      </c>
      <c r="D13" s="496"/>
      <c r="E13" s="496"/>
      <c r="F13" s="496"/>
      <c r="G13" s="496"/>
      <c r="H13" s="496"/>
      <c r="I13" s="496"/>
      <c r="J13" s="496"/>
      <c r="K13" s="496"/>
      <c r="L13" s="496"/>
      <c r="M13" s="496"/>
      <c r="O13" s="496"/>
      <c r="P13" s="496">
        <f>(12041940000+6512981200)/1000-391683</f>
        <v>18163238.2</v>
      </c>
      <c r="Q13" s="496"/>
      <c r="R13" s="496">
        <f>2986269170.58/1000</f>
        <v>2986269.17058</v>
      </c>
      <c r="S13" s="496"/>
      <c r="T13" s="496">
        <f>142703000/1000</f>
        <v>142703</v>
      </c>
      <c r="U13" s="496"/>
      <c r="V13" s="496">
        <f>176896000/1000</f>
        <v>176896</v>
      </c>
      <c r="W13" s="496"/>
      <c r="X13" s="496"/>
      <c r="Y13" s="496"/>
      <c r="Z13" s="496"/>
      <c r="AA13" s="496"/>
      <c r="AB13" s="496"/>
      <c r="AC13" s="496"/>
      <c r="AD13" s="499">
        <f>SUM(C13:AB13)</f>
        <v>24150994.37058</v>
      </c>
      <c r="AE13" s="455"/>
      <c r="AF13" s="504"/>
      <c r="AG13" s="615"/>
    </row>
    <row r="14" spans="2:33" ht="15.75">
      <c r="B14" s="450" t="s">
        <v>244</v>
      </c>
      <c r="C14" s="661">
        <f>18128+336600+45327</f>
        <v>400055</v>
      </c>
      <c r="D14" s="496"/>
      <c r="E14" s="496"/>
      <c r="F14" s="496"/>
      <c r="G14" s="496"/>
      <c r="H14" s="496"/>
      <c r="I14" s="496">
        <f>3729+2486</f>
        <v>6215</v>
      </c>
      <c r="J14" s="496"/>
      <c r="K14" s="496">
        <v>3729</v>
      </c>
      <c r="L14" s="496">
        <v>4081</v>
      </c>
      <c r="M14" s="496"/>
      <c r="N14" s="496">
        <f>4020+2486</f>
        <v>6506</v>
      </c>
      <c r="O14" s="496"/>
      <c r="P14" s="496">
        <f>501373+302617+10157</f>
        <v>814147</v>
      </c>
      <c r="Q14" s="496"/>
      <c r="R14" s="661">
        <f>52604+27594</f>
        <v>80198</v>
      </c>
      <c r="S14" s="496"/>
      <c r="T14" s="496">
        <v>6894</v>
      </c>
      <c r="U14" s="496"/>
      <c r="V14" s="496">
        <v>5049</v>
      </c>
      <c r="W14" s="496"/>
      <c r="X14" s="496">
        <v>4972</v>
      </c>
      <c r="Y14" s="496"/>
      <c r="Z14" s="496">
        <v>2486</v>
      </c>
      <c r="AA14" s="496"/>
      <c r="AB14" s="661">
        <v>2486</v>
      </c>
      <c r="AC14" s="496"/>
      <c r="AD14" s="499">
        <f>SUM(C14:AB14)</f>
        <v>1336818</v>
      </c>
      <c r="AE14" s="455"/>
      <c r="AF14" s="504"/>
      <c r="AG14" s="615"/>
    </row>
    <row r="15" spans="2:33" ht="16.5" thickBot="1">
      <c r="B15" s="450"/>
      <c r="C15" s="506">
        <f>SUM(C13:C14)</f>
        <v>3081943</v>
      </c>
      <c r="D15" s="499"/>
      <c r="E15" s="506">
        <f>SUM(E13:E14)</f>
        <v>0</v>
      </c>
      <c r="F15" s="499"/>
      <c r="G15" s="506">
        <f>SUM(G13:G14)</f>
        <v>0</v>
      </c>
      <c r="H15" s="499"/>
      <c r="I15" s="506">
        <f>SUM(I13:I14)</f>
        <v>6215</v>
      </c>
      <c r="J15" s="506">
        <f>SUM(J13:J14)</f>
        <v>0</v>
      </c>
      <c r="K15" s="506">
        <f>SUM(K13:K14)</f>
        <v>3729</v>
      </c>
      <c r="L15" s="506">
        <f>SUM(L13:L14)</f>
        <v>4081</v>
      </c>
      <c r="M15" s="499"/>
      <c r="N15" s="506">
        <f>SUM(N13:N14)</f>
        <v>6506</v>
      </c>
      <c r="O15" s="499"/>
      <c r="P15" s="506">
        <f>SUM(P13:P14)</f>
        <v>18977385.2</v>
      </c>
      <c r="Q15" s="499"/>
      <c r="R15" s="506">
        <f>SUM(R13:R14)</f>
        <v>3066467.17058</v>
      </c>
      <c r="S15" s="499"/>
      <c r="T15" s="506">
        <f>SUM(T13:T14)</f>
        <v>149597</v>
      </c>
      <c r="U15" s="499"/>
      <c r="V15" s="506">
        <f>SUM(V13:V14)</f>
        <v>181945</v>
      </c>
      <c r="W15" s="499"/>
      <c r="X15" s="506">
        <f>SUM(X13:X14)</f>
        <v>4972</v>
      </c>
      <c r="Y15" s="499"/>
      <c r="Z15" s="506">
        <f>SUM(Z13:Z14)</f>
        <v>2486</v>
      </c>
      <c r="AA15" s="499"/>
      <c r="AB15" s="506">
        <f>SUM(AB13:AB14)</f>
        <v>2486</v>
      </c>
      <c r="AC15" s="499"/>
      <c r="AD15" s="506">
        <f>SUM(AD13:AD14)</f>
        <v>25487812.37058</v>
      </c>
      <c r="AE15" s="455"/>
      <c r="AF15" s="615"/>
      <c r="AG15" s="615"/>
    </row>
    <row r="16" spans="2:33" s="595" customFormat="1" ht="16.5" thickTop="1">
      <c r="B16" s="633" t="s">
        <v>71</v>
      </c>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G16" s="615"/>
    </row>
    <row r="17" spans="2:33" ht="15.75">
      <c r="B17" s="450" t="s">
        <v>243</v>
      </c>
      <c r="C17" s="496">
        <f>2681888000/1000</f>
        <v>2681888</v>
      </c>
      <c r="D17" s="496"/>
      <c r="E17" s="496"/>
      <c r="F17" s="496"/>
      <c r="G17" s="496"/>
      <c r="H17" s="496"/>
      <c r="I17" s="496"/>
      <c r="J17" s="496"/>
      <c r="K17" s="496"/>
      <c r="L17" s="496"/>
      <c r="M17" s="496"/>
      <c r="O17" s="496"/>
      <c r="P17" s="496">
        <f>(12041940000+6512981200)/1000-391683-6140.75</f>
        <v>18157097.45</v>
      </c>
      <c r="Q17" s="496"/>
      <c r="R17" s="496">
        <f>2986269170.58/1000</f>
        <v>2986269.17058</v>
      </c>
      <c r="S17" s="496"/>
      <c r="T17" s="496">
        <f>142703000/1000</f>
        <v>142703</v>
      </c>
      <c r="U17" s="496"/>
      <c r="V17" s="496">
        <f>176896000/1000</f>
        <v>176896</v>
      </c>
      <c r="W17" s="496"/>
      <c r="X17" s="496"/>
      <c r="Y17" s="496"/>
      <c r="Z17" s="496"/>
      <c r="AA17" s="496"/>
      <c r="AB17" s="496"/>
      <c r="AC17" s="496"/>
      <c r="AD17" s="499">
        <f>SUM(C17:AB17)</f>
        <v>24144853.62058</v>
      </c>
      <c r="AF17" s="795"/>
      <c r="AG17" s="793"/>
    </row>
    <row r="18" spans="2:34" ht="16.5">
      <c r="B18" s="683" t="s">
        <v>244</v>
      </c>
      <c r="C18" s="496">
        <v>394465</v>
      </c>
      <c r="D18" s="496"/>
      <c r="E18" s="496"/>
      <c r="F18" s="496"/>
      <c r="G18" s="496"/>
      <c r="H18" s="496"/>
      <c r="I18" s="496">
        <v>6512</v>
      </c>
      <c r="J18" s="496"/>
      <c r="K18" s="496">
        <v>3726</v>
      </c>
      <c r="L18" s="496">
        <v>4080</v>
      </c>
      <c r="M18" s="496"/>
      <c r="N18" s="496">
        <v>6506</v>
      </c>
      <c r="O18" s="496"/>
      <c r="P18" s="496">
        <v>801523</v>
      </c>
      <c r="Q18" s="496"/>
      <c r="R18" s="496">
        <v>79125</v>
      </c>
      <c r="S18" s="496"/>
      <c r="T18" s="496">
        <v>6784</v>
      </c>
      <c r="U18" s="496"/>
      <c r="V18" s="496">
        <v>5049</v>
      </c>
      <c r="W18" s="496"/>
      <c r="X18" s="496">
        <v>4971</v>
      </c>
      <c r="Y18" s="496"/>
      <c r="Z18" s="496">
        <v>2486</v>
      </c>
      <c r="AA18" s="496"/>
      <c r="AB18" s="496">
        <v>2486</v>
      </c>
      <c r="AC18" s="496"/>
      <c r="AD18" s="499">
        <f>SUM(C18:AB18)</f>
        <v>1317713</v>
      </c>
      <c r="AF18" s="682"/>
      <c r="AG18" s="794"/>
      <c r="AH18" s="682"/>
    </row>
    <row r="19" spans="3:33" s="448" customFormat="1" ht="16.5" thickBot="1">
      <c r="C19" s="506">
        <f>SUM(C17:C18)</f>
        <v>3076353</v>
      </c>
      <c r="D19" s="499"/>
      <c r="E19" s="506">
        <f>SUM(E17:E18)</f>
        <v>0</v>
      </c>
      <c r="F19" s="499"/>
      <c r="G19" s="506">
        <f>SUM(G17:G18)</f>
        <v>0</v>
      </c>
      <c r="H19" s="499"/>
      <c r="I19" s="506">
        <f>SUM(I17:I18)</f>
        <v>6512</v>
      </c>
      <c r="J19" s="506">
        <f>SUM(J17:J18)</f>
        <v>0</v>
      </c>
      <c r="K19" s="506">
        <f>SUM(K17:K18)</f>
        <v>3726</v>
      </c>
      <c r="L19" s="506">
        <f>SUM(L17:L18)</f>
        <v>4080</v>
      </c>
      <c r="M19" s="499"/>
      <c r="N19" s="506">
        <f>SUM(N17:N18)</f>
        <v>6506</v>
      </c>
      <c r="O19" s="499"/>
      <c r="P19" s="506">
        <f>SUM(P17:P18)</f>
        <v>18958620.45</v>
      </c>
      <c r="Q19" s="499"/>
      <c r="R19" s="506">
        <f>SUM(R17:R18)</f>
        <v>3065394.17058</v>
      </c>
      <c r="S19" s="499"/>
      <c r="T19" s="506">
        <f>SUM(T17:T18)</f>
        <v>149487</v>
      </c>
      <c r="U19" s="499"/>
      <c r="V19" s="506">
        <f>SUM(V17:V18)</f>
        <v>181945</v>
      </c>
      <c r="W19" s="499"/>
      <c r="X19" s="506">
        <f>SUM(X17:X18)</f>
        <v>4971</v>
      </c>
      <c r="Y19" s="499"/>
      <c r="Z19" s="506">
        <f>SUM(Z17:Z18)</f>
        <v>2486</v>
      </c>
      <c r="AA19" s="499"/>
      <c r="AB19" s="506">
        <f>SUM(AB17:AB18)</f>
        <v>2486</v>
      </c>
      <c r="AC19" s="499"/>
      <c r="AD19" s="506">
        <f>SUM(AD17:AD18)</f>
        <v>25462566.62058</v>
      </c>
      <c r="AE19" s="455"/>
      <c r="AF19" s="493"/>
      <c r="AG19" s="691"/>
    </row>
    <row r="20" spans="3:32" ht="16.5" thickTop="1">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9"/>
      <c r="AF20" s="597"/>
    </row>
    <row r="21" spans="2:30" ht="15.75">
      <c r="B21" s="490" t="s">
        <v>2085</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9"/>
    </row>
    <row r="22" spans="2:32" ht="15.75">
      <c r="B22" s="445" t="s">
        <v>242</v>
      </c>
      <c r="C22" s="455"/>
      <c r="D22" s="455"/>
      <c r="E22" s="455"/>
      <c r="F22" s="455"/>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E22" s="455"/>
      <c r="AF22" s="597"/>
    </row>
    <row r="23" spans="2:32" ht="15.75">
      <c r="B23" s="450" t="s">
        <v>243</v>
      </c>
      <c r="C23" s="496">
        <v>2130085</v>
      </c>
      <c r="D23" s="496"/>
      <c r="E23" s="496"/>
      <c r="F23" s="496"/>
      <c r="G23" s="496"/>
      <c r="H23" s="496"/>
      <c r="I23" s="496"/>
      <c r="J23" s="496"/>
      <c r="K23" s="496"/>
      <c r="L23" s="496"/>
      <c r="M23" s="496"/>
      <c r="N23" s="496"/>
      <c r="O23" s="496"/>
      <c r="P23" s="496">
        <v>15800075</v>
      </c>
      <c r="Q23" s="496"/>
      <c r="R23" s="496">
        <v>2436417</v>
      </c>
      <c r="S23" s="496"/>
      <c r="T23" s="496">
        <v>87730</v>
      </c>
      <c r="U23" s="496"/>
      <c r="V23" s="496">
        <v>181096</v>
      </c>
      <c r="W23" s="496"/>
      <c r="X23" s="496"/>
      <c r="Y23" s="496"/>
      <c r="Z23" s="496"/>
      <c r="AA23" s="496"/>
      <c r="AB23" s="496"/>
      <c r="AC23" s="496"/>
      <c r="AD23" s="499">
        <f>SUM(C23:AB23)</f>
        <v>20635403</v>
      </c>
      <c r="AE23" s="455"/>
      <c r="AF23" s="492"/>
    </row>
    <row r="24" spans="2:32" ht="15.75">
      <c r="B24" s="450" t="s">
        <v>244</v>
      </c>
      <c r="C24" s="496">
        <v>193561</v>
      </c>
      <c r="D24" s="496"/>
      <c r="E24" s="496">
        <v>0</v>
      </c>
      <c r="F24" s="496"/>
      <c r="G24" s="496">
        <v>66482</v>
      </c>
      <c r="H24" s="496"/>
      <c r="I24" s="496">
        <v>10451</v>
      </c>
      <c r="J24" s="496"/>
      <c r="K24" s="496">
        <v>11250</v>
      </c>
      <c r="L24" s="496">
        <v>24045</v>
      </c>
      <c r="M24" s="496"/>
      <c r="N24" s="496">
        <v>32451</v>
      </c>
      <c r="O24" s="496"/>
      <c r="P24" s="496">
        <v>573331</v>
      </c>
      <c r="Q24" s="496"/>
      <c r="R24" s="496">
        <v>140520</v>
      </c>
      <c r="S24" s="496"/>
      <c r="T24" s="496">
        <v>57223</v>
      </c>
      <c r="U24" s="496"/>
      <c r="V24" s="496">
        <v>80151</v>
      </c>
      <c r="W24" s="496"/>
      <c r="X24" s="496">
        <v>7942</v>
      </c>
      <c r="Y24" s="496"/>
      <c r="Z24" s="496">
        <v>7895</v>
      </c>
      <c r="AA24" s="496"/>
      <c r="AB24" s="496">
        <v>20102</v>
      </c>
      <c r="AC24" s="496"/>
      <c r="AD24" s="499">
        <f>SUM(C24:AB24)</f>
        <v>1225404</v>
      </c>
      <c r="AE24" s="455"/>
      <c r="AF24" s="597"/>
    </row>
    <row r="25" spans="2:32" ht="16.5" thickBot="1">
      <c r="B25" s="450"/>
      <c r="C25" s="506">
        <v>2340939</v>
      </c>
      <c r="D25" s="506"/>
      <c r="E25" s="506">
        <v>0</v>
      </c>
      <c r="F25" s="506"/>
      <c r="G25" s="506">
        <v>0</v>
      </c>
      <c r="H25" s="506"/>
      <c r="I25" s="506">
        <v>0</v>
      </c>
      <c r="J25" s="506"/>
      <c r="K25" s="506"/>
      <c r="L25" s="506">
        <v>245780</v>
      </c>
      <c r="M25" s="506"/>
      <c r="N25" s="506">
        <v>469466</v>
      </c>
      <c r="O25" s="506"/>
      <c r="P25" s="506">
        <v>12559255</v>
      </c>
      <c r="Q25" s="506"/>
      <c r="R25" s="506">
        <v>2510812</v>
      </c>
      <c r="S25" s="506"/>
      <c r="T25" s="506">
        <v>623615</v>
      </c>
      <c r="U25" s="506"/>
      <c r="V25" s="506">
        <v>731030</v>
      </c>
      <c r="W25" s="499"/>
      <c r="X25" s="506">
        <v>0</v>
      </c>
      <c r="Y25" s="499"/>
      <c r="Z25" s="506">
        <v>0</v>
      </c>
      <c r="AA25" s="499"/>
      <c r="AB25" s="506">
        <v>49195</v>
      </c>
      <c r="AC25" s="499"/>
      <c r="AD25" s="506">
        <v>19530092</v>
      </c>
      <c r="AE25" s="455"/>
      <c r="AF25" s="492"/>
    </row>
    <row r="26" spans="2:31" ht="16.5" thickTop="1">
      <c r="B26" s="633" t="s">
        <v>71</v>
      </c>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E26" s="455"/>
    </row>
    <row r="27" spans="2:32" ht="15.75">
      <c r="B27" s="450" t="s">
        <v>243</v>
      </c>
      <c r="C27" s="496">
        <v>2130085</v>
      </c>
      <c r="D27" s="496"/>
      <c r="E27" s="496"/>
      <c r="F27" s="496"/>
      <c r="G27" s="496"/>
      <c r="H27" s="496"/>
      <c r="I27" s="496"/>
      <c r="J27" s="496"/>
      <c r="K27" s="496"/>
      <c r="L27" s="496"/>
      <c r="M27" s="496"/>
      <c r="N27" s="496"/>
      <c r="O27" s="496"/>
      <c r="P27" s="496">
        <v>15760200</v>
      </c>
      <c r="Q27" s="496"/>
      <c r="R27" s="496">
        <v>2436417</v>
      </c>
      <c r="S27" s="496"/>
      <c r="T27" s="496">
        <v>87730</v>
      </c>
      <c r="U27" s="496"/>
      <c r="V27" s="496">
        <v>181096</v>
      </c>
      <c r="W27" s="496"/>
      <c r="X27" s="496"/>
      <c r="Y27" s="496"/>
      <c r="Z27" s="496"/>
      <c r="AA27" s="496"/>
      <c r="AB27" s="496"/>
      <c r="AC27" s="496"/>
      <c r="AD27" s="499">
        <v>15463284</v>
      </c>
      <c r="AF27" s="492"/>
    </row>
    <row r="28" spans="2:32" ht="15.75">
      <c r="B28" s="450" t="s">
        <v>244</v>
      </c>
      <c r="C28" s="496">
        <v>193561</v>
      </c>
      <c r="D28" s="496"/>
      <c r="E28" s="496">
        <v>0</v>
      </c>
      <c r="F28" s="496"/>
      <c r="G28" s="496">
        <v>66482</v>
      </c>
      <c r="H28" s="496"/>
      <c r="I28" s="496">
        <v>10451</v>
      </c>
      <c r="J28" s="496"/>
      <c r="K28" s="496">
        <v>11250</v>
      </c>
      <c r="L28" s="496">
        <v>24045</v>
      </c>
      <c r="M28" s="496"/>
      <c r="N28" s="496">
        <v>32451</v>
      </c>
      <c r="O28" s="496"/>
      <c r="P28" s="496">
        <v>573331</v>
      </c>
      <c r="Q28" s="496"/>
      <c r="R28" s="496">
        <v>140520</v>
      </c>
      <c r="S28" s="496"/>
      <c r="T28" s="496">
        <v>57223</v>
      </c>
      <c r="U28" s="496"/>
      <c r="V28" s="496">
        <v>80151</v>
      </c>
      <c r="W28" s="496"/>
      <c r="X28" s="496">
        <v>7942</v>
      </c>
      <c r="Y28" s="496"/>
      <c r="Z28" s="496">
        <v>7895</v>
      </c>
      <c r="AA28" s="496"/>
      <c r="AB28" s="496">
        <v>20102</v>
      </c>
      <c r="AC28" s="496"/>
      <c r="AD28" s="499">
        <v>7314872</v>
      </c>
      <c r="AF28" s="597"/>
    </row>
    <row r="29" spans="3:32" s="448" customFormat="1" ht="17.25" thickBot="1">
      <c r="C29" s="506">
        <v>2967591</v>
      </c>
      <c r="D29" s="499"/>
      <c r="E29" s="506">
        <v>68756</v>
      </c>
      <c r="F29" s="499"/>
      <c r="G29" s="506">
        <v>120546</v>
      </c>
      <c r="H29" s="499"/>
      <c r="I29" s="506">
        <v>19875</v>
      </c>
      <c r="J29" s="506">
        <v>19875</v>
      </c>
      <c r="K29" s="506">
        <v>0</v>
      </c>
      <c r="L29" s="506">
        <v>373832</v>
      </c>
      <c r="M29" s="499"/>
      <c r="N29" s="506">
        <v>1401553</v>
      </c>
      <c r="O29" s="499"/>
      <c r="P29" s="506">
        <v>12589667</v>
      </c>
      <c r="Q29" s="499"/>
      <c r="R29" s="506">
        <v>3161168</v>
      </c>
      <c r="S29" s="499"/>
      <c r="T29" s="798">
        <v>1013970</v>
      </c>
      <c r="U29" s="499"/>
      <c r="V29" s="506">
        <v>942669</v>
      </c>
      <c r="W29" s="499"/>
      <c r="X29" s="506">
        <v>10215</v>
      </c>
      <c r="Y29" s="499"/>
      <c r="Z29" s="506">
        <v>9524</v>
      </c>
      <c r="AA29" s="499"/>
      <c r="AB29" s="506">
        <v>98790</v>
      </c>
      <c r="AC29" s="499"/>
      <c r="AD29" s="506">
        <v>22778156</v>
      </c>
      <c r="AE29" s="455"/>
      <c r="AF29" s="493"/>
    </row>
    <row r="30" ht="16.5" thickTop="1"/>
    <row r="59" ht="15.75">
      <c r="AD59" s="446"/>
    </row>
  </sheetData>
  <sheetProtection/>
  <printOptions/>
  <pageMargins left="0.26" right="0.25" top="0.49" bottom="0.8" header="0.3" footer="0.28"/>
  <pageSetup firstPageNumber="39" useFirstPageNumber="1" horizontalDpi="600" verticalDpi="600" orientation="landscape" paperSize="8" scale="83"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dimension ref="A1:O42"/>
  <sheetViews>
    <sheetView zoomScale="80" zoomScaleNormal="80" zoomScalePageLayoutView="0" workbookViewId="0" topLeftCell="A5">
      <selection activeCell="A7" sqref="A7"/>
    </sheetView>
  </sheetViews>
  <sheetFormatPr defaultColWidth="9.00390625" defaultRowHeight="15.75"/>
  <cols>
    <col min="1" max="2" width="4.50390625" style="418" customWidth="1"/>
    <col min="3" max="3" width="37.625" style="418" customWidth="1"/>
    <col min="4" max="4" width="24.50390625" style="418" customWidth="1"/>
    <col min="5" max="5" width="1.12109375" style="418" customWidth="1"/>
    <col min="6" max="6" width="4.50390625" style="418" customWidth="1"/>
    <col min="7" max="7" width="38.25390625" style="418" customWidth="1"/>
    <col min="8" max="8" width="24.50390625" style="418" customWidth="1"/>
    <col min="9" max="9" width="1.12109375" style="418" customWidth="1"/>
    <col min="10" max="10" width="4.50390625" style="418" customWidth="1"/>
    <col min="11" max="11" width="36.625" style="418" customWidth="1"/>
    <col min="12" max="12" width="24.50390625" style="418" customWidth="1"/>
    <col min="13" max="13" width="1.12109375" style="418" customWidth="1"/>
    <col min="14" max="16" width="22.125" style="418" customWidth="1"/>
    <col min="17" max="16384" width="9.00390625" style="418" customWidth="1"/>
  </cols>
  <sheetData>
    <row r="1" spans="1:6" ht="15.75">
      <c r="A1" s="413" t="str">
        <f>'[1]Notes'!A1</f>
        <v>THE UNITED REPUBLIC OF TANZANIA</v>
      </c>
      <c r="B1" s="413"/>
      <c r="F1" s="413"/>
    </row>
    <row r="2" spans="1:6" ht="15.75">
      <c r="A2" s="413" t="str">
        <f>'[1]Notes'!A2</f>
        <v>PRIME MINISTER’S OFFICE - REGIONAL ADMINISTRATION AND LOCAL GOVERNMENT</v>
      </c>
      <c r="B2" s="413"/>
      <c r="F2" s="413"/>
    </row>
    <row r="3" spans="1:6" ht="15.75">
      <c r="A3" s="413" t="str">
        <f>'[1]Notes'!A3</f>
        <v>BABATI DISTRICT COUNCIL</v>
      </c>
      <c r="B3" s="413"/>
      <c r="F3" s="413"/>
    </row>
    <row r="4" spans="1:6" ht="15.75">
      <c r="A4" s="413"/>
      <c r="B4" s="413"/>
      <c r="F4" s="413"/>
    </row>
    <row r="5" spans="1:6" ht="15.75">
      <c r="A5" s="413" t="str">
        <f>'[1]Notes'!A5</f>
        <v>NOTES TO THE FINANCIAL STATEMENTS (Continued)</v>
      </c>
      <c r="B5" s="413"/>
      <c r="F5" s="413"/>
    </row>
    <row r="6" spans="1:6" ht="15.75">
      <c r="A6" s="413" t="s">
        <v>2289</v>
      </c>
      <c r="B6" s="413"/>
      <c r="F6" s="413"/>
    </row>
    <row r="8" spans="1:12" ht="15.75">
      <c r="A8" s="478">
        <f>PPE1!A8</f>
        <v>31</v>
      </c>
      <c r="B8" s="413" t="s">
        <v>257</v>
      </c>
      <c r="D8" s="413"/>
      <c r="E8" s="413"/>
      <c r="F8" s="478"/>
      <c r="G8" s="413"/>
      <c r="H8" s="413"/>
      <c r="K8" s="413"/>
      <c r="L8" s="413"/>
    </row>
    <row r="9" spans="1:6" s="451" customFormat="1" ht="15.75">
      <c r="A9" s="454"/>
      <c r="B9" s="454"/>
      <c r="F9" s="454"/>
    </row>
    <row r="10" spans="1:6" s="451" customFormat="1" ht="16.5" thickBot="1">
      <c r="A10" s="454"/>
      <c r="B10" s="451" t="s">
        <v>246</v>
      </c>
      <c r="F10" s="454"/>
    </row>
    <row r="11" spans="2:15" s="413" customFormat="1" ht="15.75">
      <c r="B11" s="580" t="s">
        <v>379</v>
      </c>
      <c r="C11" s="581" t="s">
        <v>259</v>
      </c>
      <c r="D11" s="581" t="s">
        <v>1968</v>
      </c>
      <c r="E11" s="589"/>
      <c r="F11" s="581" t="s">
        <v>379</v>
      </c>
      <c r="G11" s="581" t="s">
        <v>259</v>
      </c>
      <c r="H11" s="581" t="s">
        <v>1968</v>
      </c>
      <c r="I11" s="589"/>
      <c r="J11" s="581" t="s">
        <v>379</v>
      </c>
      <c r="K11" s="581" t="s">
        <v>259</v>
      </c>
      <c r="L11" s="582" t="s">
        <v>1968</v>
      </c>
      <c r="M11" s="423"/>
      <c r="O11" s="423"/>
    </row>
    <row r="12" spans="2:15" ht="15.75">
      <c r="B12" s="583">
        <v>1</v>
      </c>
      <c r="C12" s="572" t="s">
        <v>575</v>
      </c>
      <c r="D12" s="572" t="s">
        <v>576</v>
      </c>
      <c r="E12" s="590"/>
      <c r="F12" s="572">
        <f>B42+1</f>
        <v>32</v>
      </c>
      <c r="G12" s="572"/>
      <c r="H12" s="572"/>
      <c r="I12" s="590"/>
      <c r="J12" s="575">
        <f>F42+1</f>
        <v>63</v>
      </c>
      <c r="K12" s="572"/>
      <c r="L12" s="584"/>
      <c r="M12" s="421"/>
      <c r="O12" s="421"/>
    </row>
    <row r="13" spans="2:15" ht="15.75">
      <c r="B13" s="583">
        <f>B12+1</f>
        <v>2</v>
      </c>
      <c r="C13" s="606" t="s">
        <v>1273</v>
      </c>
      <c r="D13" s="606" t="s">
        <v>1274</v>
      </c>
      <c r="E13" s="591"/>
      <c r="F13" s="572">
        <f>F12+1</f>
        <v>33</v>
      </c>
      <c r="G13" s="576"/>
      <c r="H13" s="576"/>
      <c r="I13" s="591"/>
      <c r="J13" s="575">
        <f>J12+1</f>
        <v>64</v>
      </c>
      <c r="K13" s="576"/>
      <c r="L13" s="585"/>
      <c r="M13" s="421"/>
      <c r="O13" s="421"/>
    </row>
    <row r="14" spans="2:15" ht="15.75">
      <c r="B14" s="583">
        <f aca="true" t="shared" si="0" ref="B14:B39">B13+1</f>
        <v>3</v>
      </c>
      <c r="C14" s="577" t="s">
        <v>1275</v>
      </c>
      <c r="D14" s="577" t="s">
        <v>558</v>
      </c>
      <c r="E14" s="592"/>
      <c r="F14" s="572">
        <f aca="true" t="shared" si="1" ref="F14:F38">F13+1</f>
        <v>34</v>
      </c>
      <c r="G14" s="577"/>
      <c r="H14" s="577"/>
      <c r="I14" s="592"/>
      <c r="J14" s="575">
        <f aca="true" t="shared" si="2" ref="J14:J38">J13+1</f>
        <v>65</v>
      </c>
      <c r="K14" s="577"/>
      <c r="L14" s="586"/>
      <c r="M14" s="421"/>
      <c r="O14" s="421"/>
    </row>
    <row r="15" spans="2:15" ht="15.75">
      <c r="B15" s="583">
        <f t="shared" si="0"/>
        <v>4</v>
      </c>
      <c r="C15" s="577" t="s">
        <v>1276</v>
      </c>
      <c r="D15" s="577" t="s">
        <v>559</v>
      </c>
      <c r="E15" s="592"/>
      <c r="F15" s="572">
        <f t="shared" si="1"/>
        <v>35</v>
      </c>
      <c r="G15" s="577"/>
      <c r="H15" s="577"/>
      <c r="I15" s="592"/>
      <c r="J15" s="575">
        <f t="shared" si="2"/>
        <v>66</v>
      </c>
      <c r="K15" s="577"/>
      <c r="L15" s="586"/>
      <c r="M15" s="421"/>
      <c r="O15" s="421"/>
    </row>
    <row r="16" spans="2:12" ht="15.75">
      <c r="B16" s="583">
        <f t="shared" si="0"/>
        <v>5</v>
      </c>
      <c r="C16" s="577" t="s">
        <v>1277</v>
      </c>
      <c r="D16" s="577" t="s">
        <v>559</v>
      </c>
      <c r="E16" s="592"/>
      <c r="F16" s="572">
        <f t="shared" si="1"/>
        <v>36</v>
      </c>
      <c r="G16" s="577"/>
      <c r="H16" s="577"/>
      <c r="I16" s="592"/>
      <c r="J16" s="575">
        <f t="shared" si="2"/>
        <v>67</v>
      </c>
      <c r="K16" s="577"/>
      <c r="L16" s="586"/>
    </row>
    <row r="17" spans="2:12" ht="15.75">
      <c r="B17" s="583">
        <f t="shared" si="0"/>
        <v>6</v>
      </c>
      <c r="C17" s="577" t="s">
        <v>1278</v>
      </c>
      <c r="D17" s="577" t="s">
        <v>1279</v>
      </c>
      <c r="E17" s="592"/>
      <c r="F17" s="572">
        <f t="shared" si="1"/>
        <v>37</v>
      </c>
      <c r="G17" s="577"/>
      <c r="H17" s="577"/>
      <c r="I17" s="592"/>
      <c r="J17" s="575">
        <f t="shared" si="2"/>
        <v>68</v>
      </c>
      <c r="K17" s="577"/>
      <c r="L17" s="586"/>
    </row>
    <row r="18" spans="2:12" ht="15.75">
      <c r="B18" s="583">
        <f t="shared" si="0"/>
        <v>7</v>
      </c>
      <c r="C18" s="577" t="s">
        <v>1280</v>
      </c>
      <c r="D18" s="577" t="s">
        <v>560</v>
      </c>
      <c r="E18" s="592"/>
      <c r="F18" s="572">
        <f t="shared" si="1"/>
        <v>38</v>
      </c>
      <c r="G18" s="577"/>
      <c r="H18" s="577"/>
      <c r="I18" s="592"/>
      <c r="J18" s="575">
        <f t="shared" si="2"/>
        <v>69</v>
      </c>
      <c r="K18" s="577"/>
      <c r="L18" s="586"/>
    </row>
    <row r="19" spans="2:12" ht="15.75">
      <c r="B19" s="583">
        <f t="shared" si="0"/>
        <v>8</v>
      </c>
      <c r="C19" s="577" t="s">
        <v>1281</v>
      </c>
      <c r="D19" s="577" t="s">
        <v>561</v>
      </c>
      <c r="E19" s="592"/>
      <c r="F19" s="572">
        <f t="shared" si="1"/>
        <v>39</v>
      </c>
      <c r="G19" s="577"/>
      <c r="H19" s="577"/>
      <c r="I19" s="592"/>
      <c r="J19" s="575">
        <f t="shared" si="2"/>
        <v>70</v>
      </c>
      <c r="K19" s="577"/>
      <c r="L19" s="586"/>
    </row>
    <row r="20" spans="2:12" ht="15.75">
      <c r="B20" s="583">
        <f t="shared" si="0"/>
        <v>9</v>
      </c>
      <c r="C20" s="577" t="s">
        <v>1282</v>
      </c>
      <c r="D20" s="577" t="s">
        <v>1283</v>
      </c>
      <c r="E20" s="593"/>
      <c r="F20" s="572">
        <f t="shared" si="1"/>
        <v>40</v>
      </c>
      <c r="G20" s="578"/>
      <c r="H20" s="578"/>
      <c r="I20" s="593"/>
      <c r="J20" s="575">
        <f t="shared" si="2"/>
        <v>71</v>
      </c>
      <c r="K20" s="578"/>
      <c r="L20" s="587"/>
    </row>
    <row r="21" spans="2:12" ht="15.75">
      <c r="B21" s="583">
        <f t="shared" si="0"/>
        <v>10</v>
      </c>
      <c r="C21" s="577" t="s">
        <v>1284</v>
      </c>
      <c r="D21" s="577" t="s">
        <v>562</v>
      </c>
      <c r="E21" s="594"/>
      <c r="F21" s="572">
        <f t="shared" si="1"/>
        <v>41</v>
      </c>
      <c r="G21" s="579"/>
      <c r="H21" s="579"/>
      <c r="I21" s="594"/>
      <c r="J21" s="575">
        <f t="shared" si="2"/>
        <v>72</v>
      </c>
      <c r="K21" s="579"/>
      <c r="L21" s="588"/>
    </row>
    <row r="22" spans="2:12" ht="15.75">
      <c r="B22" s="583">
        <f t="shared" si="0"/>
        <v>11</v>
      </c>
      <c r="C22" s="577" t="s">
        <v>1285</v>
      </c>
      <c r="D22" s="577" t="s">
        <v>562</v>
      </c>
      <c r="E22" s="592"/>
      <c r="F22" s="572">
        <f t="shared" si="1"/>
        <v>42</v>
      </c>
      <c r="G22" s="577"/>
      <c r="H22" s="577"/>
      <c r="I22" s="592"/>
      <c r="J22" s="575">
        <f t="shared" si="2"/>
        <v>73</v>
      </c>
      <c r="K22" s="577"/>
      <c r="L22" s="586"/>
    </row>
    <row r="23" spans="2:12" ht="15.75">
      <c r="B23" s="583">
        <f t="shared" si="0"/>
        <v>12</v>
      </c>
      <c r="C23" s="577" t="s">
        <v>1286</v>
      </c>
      <c r="D23" s="577" t="s">
        <v>1287</v>
      </c>
      <c r="E23" s="592"/>
      <c r="F23" s="572">
        <f t="shared" si="1"/>
        <v>43</v>
      </c>
      <c r="G23" s="577"/>
      <c r="H23" s="577"/>
      <c r="I23" s="592"/>
      <c r="J23" s="575">
        <f t="shared" si="2"/>
        <v>74</v>
      </c>
      <c r="K23" s="577"/>
      <c r="L23" s="586"/>
    </row>
    <row r="24" spans="2:12" ht="15.75">
      <c r="B24" s="583">
        <f t="shared" si="0"/>
        <v>13</v>
      </c>
      <c r="C24" s="577" t="s">
        <v>1288</v>
      </c>
      <c r="D24" s="577" t="s">
        <v>1289</v>
      </c>
      <c r="E24" s="592"/>
      <c r="F24" s="572">
        <f t="shared" si="1"/>
        <v>44</v>
      </c>
      <c r="G24" s="577"/>
      <c r="H24" s="577"/>
      <c r="I24" s="592"/>
      <c r="J24" s="575">
        <f t="shared" si="2"/>
        <v>75</v>
      </c>
      <c r="K24" s="577"/>
      <c r="L24" s="586"/>
    </row>
    <row r="25" spans="2:12" ht="15.75">
      <c r="B25" s="583">
        <f t="shared" si="0"/>
        <v>14</v>
      </c>
      <c r="C25" s="577" t="s">
        <v>1290</v>
      </c>
      <c r="D25" s="577" t="s">
        <v>564</v>
      </c>
      <c r="E25" s="592"/>
      <c r="F25" s="572">
        <f t="shared" si="1"/>
        <v>45</v>
      </c>
      <c r="G25" s="577"/>
      <c r="H25" s="577"/>
      <c r="I25" s="592"/>
      <c r="J25" s="575">
        <f t="shared" si="2"/>
        <v>76</v>
      </c>
      <c r="K25" s="577"/>
      <c r="L25" s="586"/>
    </row>
    <row r="26" spans="2:12" ht="15.75">
      <c r="B26" s="583">
        <f t="shared" si="0"/>
        <v>15</v>
      </c>
      <c r="C26" s="577" t="s">
        <v>1291</v>
      </c>
      <c r="D26" s="577" t="s">
        <v>565</v>
      </c>
      <c r="E26" s="592"/>
      <c r="F26" s="572">
        <f t="shared" si="1"/>
        <v>46</v>
      </c>
      <c r="G26" s="577"/>
      <c r="H26" s="577"/>
      <c r="I26" s="592"/>
      <c r="J26" s="575">
        <f t="shared" si="2"/>
        <v>77</v>
      </c>
      <c r="K26" s="577"/>
      <c r="L26" s="586"/>
    </row>
    <row r="27" spans="2:12" ht="15.75">
      <c r="B27" s="583">
        <f t="shared" si="0"/>
        <v>16</v>
      </c>
      <c r="C27" s="577" t="s">
        <v>1292</v>
      </c>
      <c r="D27" s="577" t="s">
        <v>1715</v>
      </c>
      <c r="E27" s="592"/>
      <c r="F27" s="572">
        <f t="shared" si="1"/>
        <v>47</v>
      </c>
      <c r="G27" s="577"/>
      <c r="H27" s="577"/>
      <c r="I27" s="592"/>
      <c r="J27" s="575">
        <f t="shared" si="2"/>
        <v>78</v>
      </c>
      <c r="K27" s="577"/>
      <c r="L27" s="586"/>
    </row>
    <row r="28" spans="2:12" ht="15.75">
      <c r="B28" s="583">
        <f t="shared" si="0"/>
        <v>17</v>
      </c>
      <c r="C28" s="577" t="s">
        <v>1716</v>
      </c>
      <c r="D28" s="577" t="s">
        <v>566</v>
      </c>
      <c r="E28" s="592"/>
      <c r="F28" s="572">
        <f t="shared" si="1"/>
        <v>48</v>
      </c>
      <c r="G28" s="577"/>
      <c r="H28" s="577"/>
      <c r="I28" s="592"/>
      <c r="J28" s="575">
        <f t="shared" si="2"/>
        <v>79</v>
      </c>
      <c r="K28" s="577"/>
      <c r="L28" s="586"/>
    </row>
    <row r="29" spans="2:12" ht="15.75">
      <c r="B29" s="583">
        <f t="shared" si="0"/>
        <v>18</v>
      </c>
      <c r="C29" s="577" t="s">
        <v>1717</v>
      </c>
      <c r="D29" s="577" t="s">
        <v>567</v>
      </c>
      <c r="E29" s="592"/>
      <c r="F29" s="572">
        <f t="shared" si="1"/>
        <v>49</v>
      </c>
      <c r="G29" s="577"/>
      <c r="H29" s="577"/>
      <c r="I29" s="592"/>
      <c r="J29" s="575">
        <f t="shared" si="2"/>
        <v>80</v>
      </c>
      <c r="K29" s="577"/>
      <c r="L29" s="586"/>
    </row>
    <row r="30" spans="2:12" ht="15.75">
      <c r="B30" s="583">
        <f t="shared" si="0"/>
        <v>19</v>
      </c>
      <c r="C30" s="577" t="s">
        <v>1718</v>
      </c>
      <c r="D30" s="577" t="s">
        <v>568</v>
      </c>
      <c r="E30" s="592"/>
      <c r="F30" s="572">
        <f t="shared" si="1"/>
        <v>50</v>
      </c>
      <c r="G30" s="577"/>
      <c r="H30" s="577"/>
      <c r="I30" s="592"/>
      <c r="J30" s="575">
        <f t="shared" si="2"/>
        <v>81</v>
      </c>
      <c r="K30" s="577"/>
      <c r="L30" s="586"/>
    </row>
    <row r="31" spans="2:12" ht="15.75">
      <c r="B31" s="583">
        <f t="shared" si="0"/>
        <v>20</v>
      </c>
      <c r="C31" s="572" t="s">
        <v>1719</v>
      </c>
      <c r="D31" s="572" t="s">
        <v>1720</v>
      </c>
      <c r="E31" s="590"/>
      <c r="F31" s="572">
        <f t="shared" si="1"/>
        <v>51</v>
      </c>
      <c r="G31" s="572"/>
      <c r="H31" s="572"/>
      <c r="I31" s="590"/>
      <c r="J31" s="575">
        <f t="shared" si="2"/>
        <v>82</v>
      </c>
      <c r="K31" s="572"/>
      <c r="L31" s="584"/>
    </row>
    <row r="32" spans="2:12" ht="15.75">
      <c r="B32" s="583">
        <f t="shared" si="0"/>
        <v>21</v>
      </c>
      <c r="C32" s="572" t="s">
        <v>1721</v>
      </c>
      <c r="D32" s="572" t="s">
        <v>569</v>
      </c>
      <c r="E32" s="590"/>
      <c r="F32" s="572">
        <f t="shared" si="1"/>
        <v>52</v>
      </c>
      <c r="G32" s="572"/>
      <c r="H32" s="572"/>
      <c r="I32" s="590"/>
      <c r="J32" s="575">
        <f t="shared" si="2"/>
        <v>83</v>
      </c>
      <c r="K32" s="572"/>
      <c r="L32" s="584"/>
    </row>
    <row r="33" spans="2:12" ht="15.75">
      <c r="B33" s="583">
        <f t="shared" si="0"/>
        <v>22</v>
      </c>
      <c r="C33" s="572" t="s">
        <v>1722</v>
      </c>
      <c r="D33" s="572" t="s">
        <v>1723</v>
      </c>
      <c r="E33" s="590"/>
      <c r="F33" s="572">
        <f t="shared" si="1"/>
        <v>53</v>
      </c>
      <c r="G33" s="572"/>
      <c r="H33" s="572"/>
      <c r="I33" s="590"/>
      <c r="J33" s="575">
        <f t="shared" si="2"/>
        <v>84</v>
      </c>
      <c r="K33" s="572"/>
      <c r="L33" s="584"/>
    </row>
    <row r="34" spans="2:12" ht="15.75">
      <c r="B34" s="583">
        <f t="shared" si="0"/>
        <v>23</v>
      </c>
      <c r="C34" s="572" t="s">
        <v>1724</v>
      </c>
      <c r="D34" s="572" t="s">
        <v>570</v>
      </c>
      <c r="E34" s="590"/>
      <c r="F34" s="572">
        <f t="shared" si="1"/>
        <v>54</v>
      </c>
      <c r="G34" s="572"/>
      <c r="H34" s="572"/>
      <c r="I34" s="590"/>
      <c r="J34" s="575">
        <f t="shared" si="2"/>
        <v>85</v>
      </c>
      <c r="K34" s="572"/>
      <c r="L34" s="584"/>
    </row>
    <row r="35" spans="2:12" ht="15.75">
      <c r="B35" s="583">
        <f t="shared" si="0"/>
        <v>24</v>
      </c>
      <c r="C35" s="572" t="s">
        <v>1725</v>
      </c>
      <c r="D35" s="572" t="s">
        <v>571</v>
      </c>
      <c r="E35" s="590"/>
      <c r="F35" s="572">
        <f t="shared" si="1"/>
        <v>55</v>
      </c>
      <c r="G35" s="572"/>
      <c r="H35" s="572"/>
      <c r="I35" s="590"/>
      <c r="J35" s="575">
        <f t="shared" si="2"/>
        <v>86</v>
      </c>
      <c r="K35" s="572"/>
      <c r="L35" s="584"/>
    </row>
    <row r="36" spans="2:12" ht="15.75">
      <c r="B36" s="583">
        <f t="shared" si="0"/>
        <v>25</v>
      </c>
      <c r="C36" s="572" t="s">
        <v>1726</v>
      </c>
      <c r="D36" s="572" t="s">
        <v>572</v>
      </c>
      <c r="E36" s="590"/>
      <c r="F36" s="572">
        <f t="shared" si="1"/>
        <v>56</v>
      </c>
      <c r="G36" s="572"/>
      <c r="H36" s="572"/>
      <c r="I36" s="590"/>
      <c r="J36" s="575">
        <f t="shared" si="2"/>
        <v>87</v>
      </c>
      <c r="K36" s="572"/>
      <c r="L36" s="584"/>
    </row>
    <row r="37" spans="2:12" ht="15.75">
      <c r="B37" s="583">
        <f t="shared" si="0"/>
        <v>26</v>
      </c>
      <c r="C37" s="572" t="s">
        <v>1727</v>
      </c>
      <c r="D37" s="572" t="s">
        <v>573</v>
      </c>
      <c r="E37" s="590"/>
      <c r="F37" s="572">
        <f t="shared" si="1"/>
        <v>57</v>
      </c>
      <c r="G37" s="572"/>
      <c r="H37" s="572"/>
      <c r="I37" s="590"/>
      <c r="J37" s="575">
        <f t="shared" si="2"/>
        <v>88</v>
      </c>
      <c r="K37" s="572"/>
      <c r="L37" s="584"/>
    </row>
    <row r="38" spans="2:12" ht="15.75">
      <c r="B38" s="583">
        <f t="shared" si="0"/>
        <v>27</v>
      </c>
      <c r="C38" s="572" t="s">
        <v>1728</v>
      </c>
      <c r="D38" s="572" t="s">
        <v>574</v>
      </c>
      <c r="E38" s="590"/>
      <c r="F38" s="572">
        <f t="shared" si="1"/>
        <v>58</v>
      </c>
      <c r="G38" s="572"/>
      <c r="H38" s="572"/>
      <c r="I38" s="590"/>
      <c r="J38" s="575">
        <f t="shared" si="2"/>
        <v>89</v>
      </c>
      <c r="K38" s="572"/>
      <c r="L38" s="584"/>
    </row>
    <row r="39" spans="2:12" ht="15.75">
      <c r="B39" s="583">
        <f t="shared" si="0"/>
        <v>28</v>
      </c>
      <c r="C39" s="572" t="s">
        <v>1729</v>
      </c>
      <c r="D39" s="572" t="s">
        <v>574</v>
      </c>
      <c r="E39" s="590"/>
      <c r="F39" s="572">
        <v>59</v>
      </c>
      <c r="G39" s="572"/>
      <c r="H39" s="572"/>
      <c r="I39" s="590"/>
      <c r="J39" s="575">
        <v>90</v>
      </c>
      <c r="K39" s="572"/>
      <c r="L39" s="584"/>
    </row>
    <row r="40" spans="2:12" ht="15.75">
      <c r="B40" s="583">
        <v>29</v>
      </c>
      <c r="C40" s="572" t="s">
        <v>2074</v>
      </c>
      <c r="D40" s="572" t="s">
        <v>2077</v>
      </c>
      <c r="E40" s="590"/>
      <c r="F40" s="572">
        <v>60</v>
      </c>
      <c r="G40" s="572"/>
      <c r="H40" s="572"/>
      <c r="I40" s="590"/>
      <c r="J40" s="575">
        <v>91</v>
      </c>
      <c r="K40" s="572"/>
      <c r="L40" s="584"/>
    </row>
    <row r="41" spans="2:12" ht="15.75">
      <c r="B41" s="583">
        <v>30</v>
      </c>
      <c r="C41" s="572" t="s">
        <v>2075</v>
      </c>
      <c r="D41" s="572" t="s">
        <v>2077</v>
      </c>
      <c r="E41" s="590"/>
      <c r="F41" s="572">
        <v>61</v>
      </c>
      <c r="G41" s="572"/>
      <c r="H41" s="572"/>
      <c r="I41" s="590"/>
      <c r="J41" s="575">
        <v>92</v>
      </c>
      <c r="K41" s="572"/>
      <c r="L41" s="584"/>
    </row>
    <row r="42" spans="2:12" ht="15.75">
      <c r="B42" s="583">
        <v>31</v>
      </c>
      <c r="C42" s="572" t="s">
        <v>2076</v>
      </c>
      <c r="D42" s="572" t="s">
        <v>566</v>
      </c>
      <c r="E42" s="590"/>
      <c r="F42" s="572">
        <v>62</v>
      </c>
      <c r="G42" s="572"/>
      <c r="H42" s="572"/>
      <c r="I42" s="590"/>
      <c r="J42" s="575">
        <v>93</v>
      </c>
      <c r="K42" s="572"/>
      <c r="L42" s="584"/>
    </row>
  </sheetData>
  <sheetProtection/>
  <printOptions/>
  <pageMargins left="0.49" right="0.39" top="0.42" bottom="0.97" header="0.41" footer="0.52"/>
  <pageSetup firstPageNumber="45" useFirstPageNumber="1" horizontalDpi="1200" verticalDpi="1200" orientation="landscape" paperSize="8" scale="90"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dimension ref="A1:N139"/>
  <sheetViews>
    <sheetView zoomScalePageLayoutView="0" workbookViewId="0" topLeftCell="A53">
      <selection activeCell="A9" sqref="A9"/>
    </sheetView>
  </sheetViews>
  <sheetFormatPr defaultColWidth="9.00390625" defaultRowHeight="15.75"/>
  <cols>
    <col min="1" max="1" width="3.875" style="429" customWidth="1"/>
    <col min="2" max="2" width="32.625" style="429" customWidth="1"/>
    <col min="3" max="3" width="14.00390625" style="429" bestFit="1" customWidth="1"/>
    <col min="4" max="4" width="1.00390625" style="429" customWidth="1"/>
    <col min="5" max="5" width="10.75390625" style="429" bestFit="1" customWidth="1"/>
    <col min="6" max="6" width="1.12109375" style="429" customWidth="1"/>
    <col min="7" max="7" width="9.875" style="429" bestFit="1" customWidth="1"/>
    <col min="8" max="8" width="1.00390625" style="429" customWidth="1"/>
    <col min="9" max="9" width="9.875" style="429" bestFit="1" customWidth="1"/>
    <col min="10" max="10" width="1.00390625" style="429" customWidth="1"/>
    <col min="11" max="11" width="9.00390625" style="429" customWidth="1"/>
    <col min="12" max="12" width="0.6171875" style="429" customWidth="1"/>
    <col min="13" max="16384" width="9.00390625" style="429" customWidth="1"/>
  </cols>
  <sheetData>
    <row r="1" ht="15.75">
      <c r="A1" s="412" t="str">
        <f>'[1]Notes'!A1</f>
        <v>THE UNITED REPUBLIC OF TANZANIA</v>
      </c>
    </row>
    <row r="2" ht="15.75">
      <c r="A2" s="412" t="str">
        <f>'[1]Notes'!A2</f>
        <v>PRIME MINISTER’S OFFICE - REGIONAL ADMINISTRATION AND LOCAL GOVERNMENT</v>
      </c>
    </row>
    <row r="3" ht="15.75">
      <c r="A3" s="412" t="str">
        <f>'[1]Notes'!A3</f>
        <v>BABATI DISTRICT COUNCIL</v>
      </c>
    </row>
    <row r="4" ht="15.75">
      <c r="A4" s="412"/>
    </row>
    <row r="5" ht="15.75">
      <c r="A5" s="412" t="str">
        <f>'[1]Notes'!A5</f>
        <v>NOTES TO THE FINANCIAL STATEMENTS (Continued)</v>
      </c>
    </row>
    <row r="6" ht="15.75">
      <c r="A6" s="412" t="s">
        <v>2290</v>
      </c>
    </row>
    <row r="8" spans="1:11" ht="15.75">
      <c r="A8" s="431">
        <f>Notes!A414+1</f>
        <v>35</v>
      </c>
      <c r="B8" s="524" t="s">
        <v>1818</v>
      </c>
      <c r="C8" s="511"/>
      <c r="D8" s="511"/>
      <c r="E8" s="511"/>
      <c r="F8" s="511"/>
      <c r="G8" s="511"/>
      <c r="H8" s="511"/>
      <c r="I8" s="511"/>
      <c r="J8" s="511"/>
      <c r="K8" s="511"/>
    </row>
    <row r="9" spans="1:11" ht="15.75">
      <c r="A9" s="431"/>
      <c r="B9" s="524"/>
      <c r="C9" s="511"/>
      <c r="D9" s="511"/>
      <c r="E9" s="511"/>
      <c r="F9" s="511"/>
      <c r="G9" s="511"/>
      <c r="H9" s="511"/>
      <c r="I9" s="511"/>
      <c r="J9" s="511"/>
      <c r="K9" s="511"/>
    </row>
    <row r="10" spans="1:11" ht="80.25" customHeight="1">
      <c r="A10" s="512"/>
      <c r="B10" s="1018" t="s">
        <v>1170</v>
      </c>
      <c r="C10" s="1018"/>
      <c r="D10" s="1018"/>
      <c r="E10" s="1018"/>
      <c r="F10" s="1018"/>
      <c r="G10" s="1018"/>
      <c r="H10" s="1018"/>
      <c r="I10" s="1018"/>
      <c r="J10" s="1018"/>
      <c r="K10" s="1018"/>
    </row>
    <row r="11" spans="1:11" ht="9.75" customHeight="1">
      <c r="A11" s="512"/>
      <c r="B11" s="534"/>
      <c r="C11" s="534"/>
      <c r="D11" s="534"/>
      <c r="E11" s="534"/>
      <c r="F11" s="534"/>
      <c r="G11" s="534"/>
      <c r="H11" s="534"/>
      <c r="I11" s="534"/>
      <c r="J11" s="534"/>
      <c r="K11" s="534"/>
    </row>
    <row r="12" spans="1:11" ht="15.75">
      <c r="A12" s="512"/>
      <c r="B12" s="535" t="s">
        <v>1730</v>
      </c>
      <c r="C12" s="511"/>
      <c r="D12" s="511"/>
      <c r="E12" s="511"/>
      <c r="F12" s="511"/>
      <c r="G12" s="511"/>
      <c r="H12" s="511"/>
      <c r="I12" s="511"/>
      <c r="J12" s="511"/>
      <c r="K12" s="511"/>
    </row>
    <row r="13" spans="1:11" ht="15.75">
      <c r="A13" s="512"/>
      <c r="B13" s="525" t="s">
        <v>1731</v>
      </c>
      <c r="C13" s="511"/>
      <c r="D13" s="511"/>
      <c r="E13" s="511"/>
      <c r="F13" s="511"/>
      <c r="G13" s="511"/>
      <c r="H13" s="511"/>
      <c r="I13" s="511"/>
      <c r="J13" s="511"/>
      <c r="K13" s="511"/>
    </row>
    <row r="14" spans="1:11" ht="84" customHeight="1">
      <c r="A14" s="512"/>
      <c r="B14" s="1018" t="s">
        <v>1171</v>
      </c>
      <c r="C14" s="1018"/>
      <c r="D14" s="1018"/>
      <c r="E14" s="1018"/>
      <c r="F14" s="1018"/>
      <c r="G14" s="1018"/>
      <c r="H14" s="1018"/>
      <c r="I14" s="1018"/>
      <c r="J14" s="1018"/>
      <c r="K14" s="1018"/>
    </row>
    <row r="15" spans="1:11" ht="15.75">
      <c r="A15" s="512"/>
      <c r="B15" s="534"/>
      <c r="C15" s="534"/>
      <c r="D15" s="534"/>
      <c r="E15" s="534"/>
      <c r="F15" s="534"/>
      <c r="G15" s="534"/>
      <c r="H15" s="534"/>
      <c r="I15" s="534"/>
      <c r="J15" s="534"/>
      <c r="K15" s="534"/>
    </row>
    <row r="16" spans="1:11" ht="15.75">
      <c r="A16" s="512"/>
      <c r="B16" s="535" t="s">
        <v>1732</v>
      </c>
      <c r="C16" s="511"/>
      <c r="D16" s="511"/>
      <c r="E16" s="511"/>
      <c r="F16" s="511"/>
      <c r="G16" s="511"/>
      <c r="H16" s="511"/>
      <c r="I16" s="511"/>
      <c r="J16" s="511"/>
      <c r="K16" s="511"/>
    </row>
    <row r="17" spans="1:11" ht="66" customHeight="1">
      <c r="A17" s="512"/>
      <c r="B17" s="1018" t="s">
        <v>1606</v>
      </c>
      <c r="C17" s="1018"/>
      <c r="D17" s="1018"/>
      <c r="E17" s="1018"/>
      <c r="F17" s="1018"/>
      <c r="G17" s="1018"/>
      <c r="H17" s="1018"/>
      <c r="I17" s="1018"/>
      <c r="J17" s="1018"/>
      <c r="K17" s="1018"/>
    </row>
    <row r="18" spans="1:11" ht="15.75">
      <c r="A18" s="512"/>
      <c r="B18" s="598"/>
      <c r="C18" s="599"/>
      <c r="D18" s="599"/>
      <c r="E18" s="599"/>
      <c r="F18" s="599"/>
      <c r="G18" s="599"/>
      <c r="H18" s="599"/>
      <c r="I18" s="599"/>
      <c r="J18" s="599"/>
      <c r="K18" s="599"/>
    </row>
    <row r="19" spans="1:11" ht="15.75">
      <c r="A19" s="512"/>
      <c r="B19" s="535" t="s">
        <v>1733</v>
      </c>
      <c r="C19" s="511"/>
      <c r="D19" s="511"/>
      <c r="E19" s="511"/>
      <c r="F19" s="511"/>
      <c r="G19" s="511"/>
      <c r="H19" s="511"/>
      <c r="I19" s="511"/>
      <c r="J19" s="511"/>
      <c r="K19" s="511"/>
    </row>
    <row r="20" spans="1:11" ht="104.25" customHeight="1">
      <c r="A20" s="512"/>
      <c r="B20" s="1018" t="s">
        <v>757</v>
      </c>
      <c r="C20" s="1018"/>
      <c r="D20" s="1018"/>
      <c r="E20" s="1018"/>
      <c r="F20" s="1018"/>
      <c r="G20" s="1018"/>
      <c r="H20" s="1018"/>
      <c r="I20" s="1018"/>
      <c r="J20" s="1018"/>
      <c r="K20" s="1018"/>
    </row>
    <row r="21" spans="1:14" ht="16.5" thickBot="1">
      <c r="A21" s="512"/>
      <c r="B21" s="533" t="s">
        <v>758</v>
      </c>
      <c r="C21" s="531"/>
      <c r="D21" s="531"/>
      <c r="E21" s="531"/>
      <c r="F21" s="531"/>
      <c r="G21" s="531"/>
      <c r="H21" s="531"/>
      <c r="I21" s="531"/>
      <c r="J21" s="531"/>
      <c r="K21" s="531"/>
      <c r="M21" s="519"/>
      <c r="N21" s="519"/>
    </row>
    <row r="22" spans="1:14" ht="31.5">
      <c r="A22" s="512"/>
      <c r="B22" s="532"/>
      <c r="C22" s="529" t="s">
        <v>759</v>
      </c>
      <c r="D22" s="529"/>
      <c r="E22" s="529" t="s">
        <v>759</v>
      </c>
      <c r="F22" s="529"/>
      <c r="G22" s="529" t="s">
        <v>759</v>
      </c>
      <c r="H22" s="529"/>
      <c r="I22" s="529" t="s">
        <v>760</v>
      </c>
      <c r="J22" s="529"/>
      <c r="K22" s="529"/>
      <c r="M22" s="522"/>
      <c r="N22" s="522"/>
    </row>
    <row r="23" spans="1:14" ht="15.75">
      <c r="A23" s="512"/>
      <c r="B23" s="600"/>
      <c r="C23" s="601" t="s">
        <v>761</v>
      </c>
      <c r="D23" s="601"/>
      <c r="E23" s="601" t="s">
        <v>762</v>
      </c>
      <c r="F23" s="601"/>
      <c r="G23" s="601" t="s">
        <v>763</v>
      </c>
      <c r="H23" s="601"/>
      <c r="I23" s="601" t="s">
        <v>764</v>
      </c>
      <c r="J23" s="601"/>
      <c r="K23" s="601"/>
      <c r="M23" s="522"/>
      <c r="N23" s="522"/>
    </row>
    <row r="24" spans="1:14" ht="15.75">
      <c r="A24" s="512"/>
      <c r="B24" s="602" t="s">
        <v>2407</v>
      </c>
      <c r="C24" s="603"/>
      <c r="D24" s="603"/>
      <c r="E24" s="603"/>
      <c r="F24" s="603"/>
      <c r="G24" s="603"/>
      <c r="H24" s="603"/>
      <c r="I24" s="603"/>
      <c r="J24" s="603"/>
      <c r="K24" s="604"/>
      <c r="M24" s="521"/>
      <c r="N24" s="521"/>
    </row>
    <row r="25" spans="1:14" ht="16.5" thickBot="1">
      <c r="A25" s="512"/>
      <c r="B25" s="523" t="s">
        <v>772</v>
      </c>
      <c r="C25" s="623"/>
      <c r="D25" s="520"/>
      <c r="E25" s="623"/>
      <c r="F25" s="520"/>
      <c r="G25" s="623"/>
      <c r="H25" s="520"/>
      <c r="I25" s="783">
        <v>59396</v>
      </c>
      <c r="J25" s="520"/>
      <c r="K25" s="520"/>
      <c r="M25" s="521"/>
      <c r="N25" s="521"/>
    </row>
    <row r="26" spans="1:14" ht="16.5" thickBot="1">
      <c r="A26" s="512"/>
      <c r="B26" s="523" t="s">
        <v>773</v>
      </c>
      <c r="C26" s="623"/>
      <c r="D26" s="520"/>
      <c r="E26" s="623"/>
      <c r="F26" s="520"/>
      <c r="G26" s="623">
        <f>466585/4</f>
        <v>116646.25</v>
      </c>
      <c r="H26" s="520"/>
      <c r="I26" s="623">
        <f>3*G26</f>
        <v>349938.75</v>
      </c>
      <c r="J26" s="520"/>
      <c r="K26" s="520"/>
      <c r="M26" s="521"/>
      <c r="N26" s="521"/>
    </row>
    <row r="27" spans="1:14" ht="16.5" thickBot="1">
      <c r="A27" s="512"/>
      <c r="B27" s="523" t="s">
        <v>777</v>
      </c>
      <c r="C27" s="623"/>
      <c r="D27" s="520"/>
      <c r="E27" s="623"/>
      <c r="F27" s="520"/>
      <c r="G27" s="623">
        <v>5320</v>
      </c>
      <c r="H27" s="520"/>
      <c r="I27" s="623"/>
      <c r="J27" s="520"/>
      <c r="K27" s="520"/>
      <c r="M27" s="521"/>
      <c r="N27" s="521"/>
    </row>
    <row r="28" spans="1:14" ht="16.5" thickBot="1">
      <c r="A28" s="512"/>
      <c r="B28" s="523" t="s">
        <v>775</v>
      </c>
      <c r="C28" s="623"/>
      <c r="D28" s="520"/>
      <c r="E28" s="623"/>
      <c r="F28" s="520"/>
      <c r="G28" s="782"/>
      <c r="H28" s="520"/>
      <c r="I28" s="623"/>
      <c r="J28" s="520"/>
      <c r="K28" s="520"/>
      <c r="M28" s="521"/>
      <c r="N28" s="521"/>
    </row>
    <row r="29" spans="1:14" ht="16.5" thickBot="1">
      <c r="A29" s="512"/>
      <c r="B29" s="523" t="s">
        <v>774</v>
      </c>
      <c r="C29" s="623"/>
      <c r="D29" s="520"/>
      <c r="E29" s="623"/>
      <c r="F29" s="520"/>
      <c r="G29" s="782"/>
      <c r="H29" s="520"/>
      <c r="I29" s="623">
        <v>0</v>
      </c>
      <c r="J29" s="520"/>
      <c r="K29" s="520"/>
      <c r="M29" s="521"/>
      <c r="N29" s="521"/>
    </row>
    <row r="30" spans="1:14" ht="16.5" thickBot="1">
      <c r="A30" s="512"/>
      <c r="B30" s="653" t="s">
        <v>776</v>
      </c>
      <c r="C30" s="655"/>
      <c r="D30" s="654"/>
      <c r="E30" s="655"/>
      <c r="F30" s="654"/>
      <c r="G30" s="655"/>
      <c r="H30" s="654"/>
      <c r="I30" s="655"/>
      <c r="J30" s="654"/>
      <c r="K30" s="654"/>
      <c r="M30" s="521"/>
      <c r="N30" s="521"/>
    </row>
    <row r="31" spans="1:14" ht="16.5" thickBot="1">
      <c r="A31" s="512"/>
      <c r="B31" s="741" t="s">
        <v>2051</v>
      </c>
      <c r="C31" s="653"/>
      <c r="D31" s="742"/>
      <c r="E31" s="782">
        <v>139691</v>
      </c>
      <c r="F31" s="742"/>
      <c r="G31" s="743"/>
      <c r="H31" s="742"/>
      <c r="I31" s="743"/>
      <c r="J31" s="742"/>
      <c r="K31" s="653"/>
      <c r="M31" s="521"/>
      <c r="N31" s="521"/>
    </row>
    <row r="32" spans="1:14" ht="16.5" thickBot="1">
      <c r="A32" s="512"/>
      <c r="B32" s="521"/>
      <c r="C32" s="521"/>
      <c r="D32" s="521"/>
      <c r="E32" s="521"/>
      <c r="F32" s="521"/>
      <c r="G32" s="645"/>
      <c r="H32" s="521"/>
      <c r="I32" s="521"/>
      <c r="J32" s="521"/>
      <c r="K32" s="521"/>
      <c r="M32" s="521"/>
      <c r="N32" s="521"/>
    </row>
    <row r="33" spans="1:14" ht="31.5">
      <c r="A33" s="512"/>
      <c r="B33" s="532"/>
      <c r="C33" s="529" t="s">
        <v>759</v>
      </c>
      <c r="D33" s="529"/>
      <c r="E33" s="529" t="s">
        <v>759</v>
      </c>
      <c r="F33" s="529"/>
      <c r="G33" s="529" t="s">
        <v>759</v>
      </c>
      <c r="H33" s="529"/>
      <c r="I33" s="529" t="s">
        <v>760</v>
      </c>
      <c r="J33" s="529"/>
      <c r="K33" s="529"/>
      <c r="M33" s="521"/>
      <c r="N33" s="521"/>
    </row>
    <row r="34" spans="1:14" ht="15.75">
      <c r="A34" s="512"/>
      <c r="B34" s="656"/>
      <c r="C34" s="657" t="s">
        <v>761</v>
      </c>
      <c r="D34" s="657"/>
      <c r="E34" s="657" t="s">
        <v>762</v>
      </c>
      <c r="F34" s="657"/>
      <c r="G34" s="657" t="s">
        <v>763</v>
      </c>
      <c r="H34" s="657"/>
      <c r="I34" s="657" t="s">
        <v>764</v>
      </c>
      <c r="J34" s="657"/>
      <c r="K34" s="657"/>
      <c r="M34" s="521"/>
      <c r="N34" s="521"/>
    </row>
    <row r="35" spans="1:14" ht="15.75">
      <c r="A35" s="512"/>
      <c r="B35" s="646" t="s">
        <v>2406</v>
      </c>
      <c r="C35" s="647"/>
      <c r="D35" s="647"/>
      <c r="E35" s="647"/>
      <c r="F35" s="647"/>
      <c r="G35" s="647"/>
      <c r="H35" s="647"/>
      <c r="I35" s="647"/>
      <c r="J35" s="647"/>
      <c r="K35" s="648"/>
      <c r="M35" s="521"/>
      <c r="N35" s="521"/>
    </row>
    <row r="36" spans="1:14" ht="16.5" thickBot="1">
      <c r="A36" s="512"/>
      <c r="B36" s="523" t="s">
        <v>772</v>
      </c>
      <c r="C36" s="623"/>
      <c r="D36" s="520"/>
      <c r="E36" s="623"/>
      <c r="F36" s="520"/>
      <c r="G36" s="623"/>
      <c r="H36" s="520"/>
      <c r="I36" s="783">
        <v>62117</v>
      </c>
      <c r="J36" s="520"/>
      <c r="K36" s="520"/>
      <c r="M36" s="521"/>
      <c r="N36" s="521"/>
    </row>
    <row r="37" spans="1:14" ht="16.5" thickBot="1">
      <c r="A37" s="512"/>
      <c r="B37" s="523" t="s">
        <v>773</v>
      </c>
      <c r="C37" s="623"/>
      <c r="D37" s="520"/>
      <c r="E37" s="623">
        <v>459616</v>
      </c>
      <c r="F37" s="520"/>
      <c r="G37" s="782">
        <v>144031</v>
      </c>
      <c r="H37" s="520"/>
      <c r="I37" s="623">
        <v>288062</v>
      </c>
      <c r="J37" s="520"/>
      <c r="K37" s="520"/>
      <c r="M37" s="521"/>
      <c r="N37" s="521"/>
    </row>
    <row r="38" spans="1:14" ht="16.5" thickBot="1">
      <c r="A38" s="512"/>
      <c r="B38" s="523" t="s">
        <v>777</v>
      </c>
      <c r="C38" s="623">
        <v>11899</v>
      </c>
      <c r="D38" s="520"/>
      <c r="E38" s="623"/>
      <c r="F38" s="520"/>
      <c r="G38" s="623"/>
      <c r="H38" s="520"/>
      <c r="I38" s="623"/>
      <c r="J38" s="520"/>
      <c r="K38" s="520"/>
      <c r="M38" s="521"/>
      <c r="N38" s="521"/>
    </row>
    <row r="39" spans="1:14" ht="16.5" thickBot="1">
      <c r="A39" s="512"/>
      <c r="B39" s="523" t="s">
        <v>775</v>
      </c>
      <c r="C39" s="623"/>
      <c r="D39" s="520"/>
      <c r="E39" s="623">
        <v>357813</v>
      </c>
      <c r="F39" s="520"/>
      <c r="G39" s="782"/>
      <c r="H39" s="520"/>
      <c r="I39" s="623"/>
      <c r="J39" s="520"/>
      <c r="K39" s="520"/>
      <c r="M39" s="521"/>
      <c r="N39" s="521"/>
    </row>
    <row r="40" spans="1:11" s="515" customFormat="1" ht="15" customHeight="1" thickBot="1">
      <c r="A40" s="512"/>
      <c r="B40" s="523" t="s">
        <v>774</v>
      </c>
      <c r="C40" s="623"/>
      <c r="D40" s="520"/>
      <c r="E40" s="623"/>
      <c r="F40" s="520"/>
      <c r="G40" s="782">
        <v>167850</v>
      </c>
      <c r="H40" s="520"/>
      <c r="I40" s="623">
        <v>0</v>
      </c>
      <c r="J40" s="520"/>
      <c r="K40" s="520"/>
    </row>
    <row r="41" spans="1:11" ht="18" customHeight="1" thickBot="1">
      <c r="A41" s="512"/>
      <c r="B41" s="653" t="s">
        <v>776</v>
      </c>
      <c r="C41" s="655"/>
      <c r="D41" s="654"/>
      <c r="E41" s="655"/>
      <c r="F41" s="654"/>
      <c r="G41" s="655"/>
      <c r="H41" s="654"/>
      <c r="I41" s="655">
        <v>36063</v>
      </c>
      <c r="J41" s="520"/>
      <c r="K41" s="520"/>
    </row>
    <row r="42" spans="1:11" ht="18" customHeight="1" thickBot="1">
      <c r="A42" s="512"/>
      <c r="B42" s="741" t="s">
        <v>2051</v>
      </c>
      <c r="C42" s="653"/>
      <c r="D42" s="742"/>
      <c r="E42" s="782">
        <f>169325113/1000</f>
        <v>169325.113</v>
      </c>
      <c r="F42" s="742"/>
      <c r="G42" s="743"/>
      <c r="H42" s="742"/>
      <c r="I42" s="743"/>
      <c r="J42" s="742"/>
      <c r="K42" s="653"/>
    </row>
    <row r="43" spans="1:11" ht="18" customHeight="1">
      <c r="A43" s="512"/>
      <c r="B43" s="521"/>
      <c r="C43" s="521"/>
      <c r="D43" s="521"/>
      <c r="E43" s="521"/>
      <c r="F43" s="521"/>
      <c r="G43" s="645"/>
      <c r="H43" s="521"/>
      <c r="I43" s="521"/>
      <c r="J43" s="521"/>
      <c r="K43" s="521"/>
    </row>
    <row r="44" spans="1:11" ht="18" customHeight="1">
      <c r="A44" s="512"/>
      <c r="B44" s="521"/>
      <c r="C44" s="521"/>
      <c r="D44" s="521"/>
      <c r="E44" s="521"/>
      <c r="F44" s="521"/>
      <c r="G44" s="645"/>
      <c r="H44" s="521"/>
      <c r="I44" s="521"/>
      <c r="J44" s="521"/>
      <c r="K44" s="521"/>
    </row>
    <row r="45" spans="1:11" ht="15.75">
      <c r="A45" s="512"/>
      <c r="B45" s="514"/>
      <c r="C45" s="511"/>
      <c r="D45" s="511"/>
      <c r="E45" s="511"/>
      <c r="F45" s="511"/>
      <c r="G45" s="511"/>
      <c r="H45" s="511"/>
      <c r="I45" s="511"/>
      <c r="J45" s="511"/>
      <c r="K45" s="511"/>
    </row>
    <row r="46" spans="1:11" ht="15.75">
      <c r="A46" s="431">
        <f>A8</f>
        <v>35</v>
      </c>
      <c r="B46" s="524" t="s">
        <v>1819</v>
      </c>
      <c r="C46" s="511"/>
      <c r="D46" s="511"/>
      <c r="E46" s="511"/>
      <c r="F46" s="511"/>
      <c r="G46" s="511"/>
      <c r="H46" s="511"/>
      <c r="I46" s="511"/>
      <c r="J46" s="511"/>
      <c r="K46" s="511"/>
    </row>
    <row r="47" spans="1:11" ht="15.75">
      <c r="A47" s="431"/>
      <c r="B47" s="524"/>
      <c r="C47" s="511"/>
      <c r="D47" s="511"/>
      <c r="E47" s="511"/>
      <c r="F47" s="511"/>
      <c r="G47" s="511"/>
      <c r="H47" s="511"/>
      <c r="I47" s="511"/>
      <c r="J47" s="511"/>
      <c r="K47" s="511"/>
    </row>
    <row r="48" spans="1:11" ht="15.75">
      <c r="A48" s="512"/>
      <c r="B48" s="605" t="s">
        <v>765</v>
      </c>
      <c r="C48" s="511"/>
      <c r="D48" s="511"/>
      <c r="E48" s="511"/>
      <c r="F48" s="511"/>
      <c r="G48" s="511"/>
      <c r="H48" s="511"/>
      <c r="I48" s="511"/>
      <c r="J48" s="511"/>
      <c r="K48" s="511"/>
    </row>
    <row r="49" spans="1:12" s="415" customFormat="1" ht="54" customHeight="1">
      <c r="A49" s="431"/>
      <c r="B49" s="1017" t="s">
        <v>766</v>
      </c>
      <c r="C49" s="1017"/>
      <c r="D49" s="1017"/>
      <c r="E49" s="1017"/>
      <c r="F49" s="1017"/>
      <c r="G49" s="1017"/>
      <c r="H49" s="1017"/>
      <c r="I49" s="1017"/>
      <c r="J49" s="1017"/>
      <c r="K49" s="1017"/>
      <c r="L49" s="428"/>
    </row>
    <row r="50" spans="1:12" s="415" customFormat="1" ht="15.75">
      <c r="A50" s="431"/>
      <c r="I50" s="428"/>
      <c r="J50" s="428"/>
      <c r="K50" s="433"/>
      <c r="L50" s="428"/>
    </row>
    <row r="51" spans="1:12" s="415" customFormat="1" ht="15.75">
      <c r="A51" s="431"/>
      <c r="B51" s="427" t="s">
        <v>767</v>
      </c>
      <c r="I51" s="428"/>
      <c r="J51" s="428"/>
      <c r="K51" s="433"/>
      <c r="L51" s="428"/>
    </row>
    <row r="52" spans="1:12" s="415" customFormat="1" ht="66.75" customHeight="1">
      <c r="A52" s="431"/>
      <c r="B52" s="1017" t="s">
        <v>999</v>
      </c>
      <c r="C52" s="1017"/>
      <c r="D52" s="1017"/>
      <c r="E52" s="1017"/>
      <c r="F52" s="1017"/>
      <c r="G52" s="1017"/>
      <c r="H52" s="1017"/>
      <c r="I52" s="1017"/>
      <c r="J52" s="1017"/>
      <c r="K52" s="1017"/>
      <c r="L52" s="428"/>
    </row>
    <row r="53" spans="1:12" s="415" customFormat="1" ht="15.75">
      <c r="A53" s="431"/>
      <c r="I53" s="428"/>
      <c r="J53" s="428"/>
      <c r="K53" s="433"/>
      <c r="L53" s="428"/>
    </row>
    <row r="54" spans="1:12" s="415" customFormat="1" ht="15.75">
      <c r="A54" s="431"/>
      <c r="B54" s="427" t="s">
        <v>1000</v>
      </c>
      <c r="I54" s="428"/>
      <c r="J54" s="428"/>
      <c r="K54" s="433"/>
      <c r="L54" s="428"/>
    </row>
    <row r="55" spans="1:12" s="415" customFormat="1" ht="66" customHeight="1">
      <c r="A55" s="431"/>
      <c r="B55" s="1017" t="s">
        <v>1001</v>
      </c>
      <c r="C55" s="1017"/>
      <c r="D55" s="1017"/>
      <c r="E55" s="1017"/>
      <c r="F55" s="1017"/>
      <c r="G55" s="1017"/>
      <c r="H55" s="1017"/>
      <c r="I55" s="1017"/>
      <c r="J55" s="1017"/>
      <c r="K55" s="1017"/>
      <c r="L55" s="428"/>
    </row>
    <row r="56" spans="1:11" ht="15.75">
      <c r="A56" s="512"/>
      <c r="B56" s="607"/>
      <c r="C56" s="608"/>
      <c r="D56" s="608"/>
      <c r="E56" s="608"/>
      <c r="F56" s="608"/>
      <c r="G56" s="609"/>
      <c r="H56" s="609"/>
      <c r="I56" s="609"/>
      <c r="J56" s="609"/>
      <c r="K56" s="609"/>
    </row>
    <row r="57" spans="1:11" ht="15.75">
      <c r="A57" s="512"/>
      <c r="B57" s="607"/>
      <c r="C57" s="608"/>
      <c r="D57" s="608"/>
      <c r="E57" s="608"/>
      <c r="F57" s="608"/>
      <c r="G57" s="609"/>
      <c r="H57" s="609"/>
      <c r="I57" s="609"/>
      <c r="J57" s="609"/>
      <c r="K57" s="609"/>
    </row>
    <row r="58" spans="1:11" ht="15.75">
      <c r="A58" s="512"/>
      <c r="B58" s="607"/>
      <c r="C58" s="608"/>
      <c r="D58" s="608"/>
      <c r="E58" s="608"/>
      <c r="F58" s="608"/>
      <c r="G58" s="610"/>
      <c r="H58" s="610"/>
      <c r="I58" s="610"/>
      <c r="J58" s="610"/>
      <c r="K58" s="610"/>
    </row>
    <row r="59" spans="1:11" ht="15.75">
      <c r="A59" s="512"/>
      <c r="B59" s="607"/>
      <c r="C59" s="608"/>
      <c r="D59" s="608"/>
      <c r="E59" s="608"/>
      <c r="F59" s="608"/>
      <c r="G59" s="610"/>
      <c r="H59" s="610"/>
      <c r="I59" s="607"/>
      <c r="J59" s="607"/>
      <c r="K59" s="610"/>
    </row>
    <row r="60" spans="1:11" ht="15.75">
      <c r="A60" s="512"/>
      <c r="B60" s="611"/>
      <c r="C60" s="608"/>
      <c r="D60" s="608"/>
      <c r="E60" s="608"/>
      <c r="F60" s="608"/>
      <c r="G60" s="607"/>
      <c r="H60" s="607"/>
      <c r="I60" s="607"/>
      <c r="J60" s="607"/>
      <c r="K60" s="607"/>
    </row>
    <row r="61" spans="1:11" ht="15.75">
      <c r="A61" s="512"/>
      <c r="B61" s="607"/>
      <c r="C61" s="608"/>
      <c r="D61" s="608"/>
      <c r="E61" s="608"/>
      <c r="F61" s="608"/>
      <c r="G61" s="610"/>
      <c r="H61" s="610"/>
      <c r="I61" s="610"/>
      <c r="J61" s="610"/>
      <c r="K61" s="610"/>
    </row>
    <row r="62" spans="1:11" ht="15.75">
      <c r="A62" s="512"/>
      <c r="B62" s="607"/>
      <c r="C62" s="608"/>
      <c r="D62" s="608"/>
      <c r="E62" s="608"/>
      <c r="F62" s="608"/>
      <c r="G62" s="609"/>
      <c r="H62" s="609"/>
      <c r="I62" s="609"/>
      <c r="J62" s="609"/>
      <c r="K62" s="609"/>
    </row>
    <row r="63" spans="1:11" ht="15.75">
      <c r="A63" s="512"/>
      <c r="B63" s="607"/>
      <c r="C63" s="608"/>
      <c r="D63" s="608"/>
      <c r="E63" s="608"/>
      <c r="F63" s="608"/>
      <c r="G63" s="610"/>
      <c r="H63" s="610"/>
      <c r="I63" s="610"/>
      <c r="J63" s="610"/>
      <c r="K63" s="610"/>
    </row>
    <row r="64" spans="1:11" ht="15.75">
      <c r="A64" s="512"/>
      <c r="B64" s="607"/>
      <c r="C64" s="608"/>
      <c r="D64" s="608"/>
      <c r="E64" s="608"/>
      <c r="F64" s="608"/>
      <c r="G64" s="610"/>
      <c r="H64" s="610"/>
      <c r="I64" s="610"/>
      <c r="J64" s="610"/>
      <c r="K64" s="610"/>
    </row>
    <row r="65" spans="1:11" ht="15.75">
      <c r="A65" s="512"/>
      <c r="B65" s="611"/>
      <c r="C65" s="608"/>
      <c r="D65" s="608"/>
      <c r="E65" s="608"/>
      <c r="F65" s="608"/>
      <c r="G65" s="607"/>
      <c r="H65" s="607"/>
      <c r="I65" s="607"/>
      <c r="J65" s="607"/>
      <c r="K65" s="607"/>
    </row>
    <row r="66" spans="1:11" ht="15.75">
      <c r="A66" s="512"/>
      <c r="B66" s="607"/>
      <c r="C66" s="608"/>
      <c r="D66" s="608"/>
      <c r="E66" s="608"/>
      <c r="F66" s="608"/>
      <c r="G66" s="610"/>
      <c r="H66" s="610"/>
      <c r="I66" s="610"/>
      <c r="J66" s="610"/>
      <c r="K66" s="610"/>
    </row>
    <row r="67" spans="1:11" ht="15.75">
      <c r="A67" s="512"/>
      <c r="B67" s="607"/>
      <c r="C67" s="608"/>
      <c r="D67" s="608"/>
      <c r="E67" s="608"/>
      <c r="F67" s="608"/>
      <c r="G67" s="609"/>
      <c r="H67" s="609"/>
      <c r="I67" s="609"/>
      <c r="J67" s="609"/>
      <c r="K67" s="609"/>
    </row>
    <row r="68" spans="1:11" ht="15.75">
      <c r="A68" s="512"/>
      <c r="B68" s="607"/>
      <c r="C68" s="608"/>
      <c r="D68" s="608"/>
      <c r="E68" s="608"/>
      <c r="F68" s="608"/>
      <c r="G68" s="609"/>
      <c r="H68" s="609"/>
      <c r="I68" s="609"/>
      <c r="J68" s="609"/>
      <c r="K68" s="609"/>
    </row>
    <row r="69" spans="1:11" ht="15.75">
      <c r="A69" s="512"/>
      <c r="B69" s="607"/>
      <c r="C69" s="608"/>
      <c r="D69" s="608"/>
      <c r="E69" s="608"/>
      <c r="F69" s="608"/>
      <c r="G69" s="609"/>
      <c r="H69" s="609"/>
      <c r="I69" s="609"/>
      <c r="J69" s="609"/>
      <c r="K69" s="609"/>
    </row>
    <row r="70" spans="1:11" ht="15.75">
      <c r="A70" s="512"/>
      <c r="B70" s="1016"/>
      <c r="C70" s="1016"/>
      <c r="D70" s="1016"/>
      <c r="E70" s="1016"/>
      <c r="F70" s="1016"/>
      <c r="G70" s="1016"/>
      <c r="H70" s="1016"/>
      <c r="I70" s="1016"/>
      <c r="J70" s="612"/>
      <c r="K70" s="613"/>
    </row>
    <row r="71" spans="1:11" ht="15.75">
      <c r="A71" s="512"/>
      <c r="B71" s="513"/>
      <c r="C71" s="513"/>
      <c r="D71" s="513"/>
      <c r="E71" s="513"/>
      <c r="F71" s="513"/>
      <c r="G71" s="513"/>
      <c r="H71" s="513"/>
      <c r="I71" s="513"/>
      <c r="J71" s="513"/>
      <c r="K71" s="511"/>
    </row>
    <row r="72" spans="1:11" ht="15.75">
      <c r="A72" s="512"/>
      <c r="B72" s="513"/>
      <c r="C72" s="513"/>
      <c r="D72" s="513"/>
      <c r="E72" s="513"/>
      <c r="F72" s="513"/>
      <c r="G72" s="513"/>
      <c r="H72" s="513"/>
      <c r="I72" s="513"/>
      <c r="J72" s="513"/>
      <c r="K72" s="511"/>
    </row>
    <row r="73" spans="1:11" ht="15.75">
      <c r="A73" s="512"/>
      <c r="B73" s="513"/>
      <c r="C73" s="513"/>
      <c r="D73" s="513"/>
      <c r="E73" s="513"/>
      <c r="F73" s="513"/>
      <c r="G73" s="513"/>
      <c r="H73" s="513"/>
      <c r="I73" s="513"/>
      <c r="J73" s="513"/>
      <c r="K73" s="511"/>
    </row>
    <row r="74" spans="1:11" ht="15.75">
      <c r="A74" s="512"/>
      <c r="B74" s="513"/>
      <c r="C74" s="513"/>
      <c r="D74" s="513"/>
      <c r="E74" s="513"/>
      <c r="F74" s="513"/>
      <c r="G74" s="513"/>
      <c r="H74" s="513"/>
      <c r="I74" s="513"/>
      <c r="J74" s="513"/>
      <c r="K74" s="511"/>
    </row>
    <row r="75" spans="1:11" ht="15.75">
      <c r="A75" s="512"/>
      <c r="B75" s="513"/>
      <c r="C75" s="513"/>
      <c r="D75" s="513"/>
      <c r="E75" s="513"/>
      <c r="F75" s="513"/>
      <c r="G75" s="513"/>
      <c r="H75" s="513"/>
      <c r="I75" s="513"/>
      <c r="J75" s="513"/>
      <c r="K75" s="511"/>
    </row>
    <row r="76" spans="1:11" ht="15.75">
      <c r="A76" s="512"/>
      <c r="B76" s="513"/>
      <c r="C76" s="513"/>
      <c r="D76" s="513"/>
      <c r="E76" s="513"/>
      <c r="F76" s="513"/>
      <c r="G76" s="513"/>
      <c r="H76" s="513"/>
      <c r="I76" s="513"/>
      <c r="J76" s="513"/>
      <c r="K76" s="511"/>
    </row>
    <row r="77" spans="1:11" ht="15.75">
      <c r="A77" s="512"/>
      <c r="B77" s="513"/>
      <c r="C77" s="513"/>
      <c r="D77" s="513"/>
      <c r="E77" s="513"/>
      <c r="F77" s="513"/>
      <c r="G77" s="513"/>
      <c r="H77" s="513"/>
      <c r="I77" s="513"/>
      <c r="J77" s="513"/>
      <c r="K77" s="511"/>
    </row>
    <row r="78" spans="1:11" ht="15.75">
      <c r="A78" s="512"/>
      <c r="B78" s="513"/>
      <c r="C78" s="513"/>
      <c r="D78" s="513"/>
      <c r="E78" s="513"/>
      <c r="F78" s="513"/>
      <c r="G78" s="513"/>
      <c r="H78" s="513"/>
      <c r="I78" s="513"/>
      <c r="J78" s="513"/>
      <c r="K78" s="511"/>
    </row>
    <row r="79" spans="1:11" ht="15.75">
      <c r="A79" s="512"/>
      <c r="B79" s="513"/>
      <c r="C79" s="513"/>
      <c r="D79" s="513"/>
      <c r="E79" s="513"/>
      <c r="F79" s="513"/>
      <c r="G79" s="513"/>
      <c r="H79" s="513"/>
      <c r="I79" s="513"/>
      <c r="J79" s="513"/>
      <c r="K79" s="511"/>
    </row>
    <row r="80" spans="1:11" ht="15.75">
      <c r="A80" s="512"/>
      <c r="B80" s="513"/>
      <c r="C80" s="513"/>
      <c r="D80" s="513"/>
      <c r="E80" s="513"/>
      <c r="F80" s="513"/>
      <c r="G80" s="513"/>
      <c r="H80" s="513"/>
      <c r="I80" s="513"/>
      <c r="J80" s="513"/>
      <c r="K80" s="511"/>
    </row>
    <row r="81" spans="1:11" ht="15.75">
      <c r="A81" s="512"/>
      <c r="B81" s="513"/>
      <c r="C81" s="513"/>
      <c r="D81" s="513"/>
      <c r="E81" s="513"/>
      <c r="F81" s="513"/>
      <c r="G81" s="513"/>
      <c r="H81" s="513"/>
      <c r="I81" s="513"/>
      <c r="J81" s="513"/>
      <c r="K81" s="511"/>
    </row>
    <row r="82" spans="1:11" ht="15.75">
      <c r="A82" s="512"/>
      <c r="B82" s="513"/>
      <c r="C82" s="513"/>
      <c r="D82" s="513"/>
      <c r="E82" s="513"/>
      <c r="F82" s="513"/>
      <c r="G82" s="513"/>
      <c r="H82" s="513"/>
      <c r="I82" s="513"/>
      <c r="J82" s="513"/>
      <c r="K82" s="511"/>
    </row>
    <row r="83" spans="1:11" ht="15.75">
      <c r="A83" s="512"/>
      <c r="B83" s="513"/>
      <c r="C83" s="513"/>
      <c r="D83" s="513"/>
      <c r="E83" s="513"/>
      <c r="F83" s="513"/>
      <c r="G83" s="513"/>
      <c r="H83" s="513"/>
      <c r="I83" s="513"/>
      <c r="J83" s="513"/>
      <c r="K83" s="511"/>
    </row>
    <row r="84" spans="1:12" s="415" customFormat="1" ht="15.75">
      <c r="A84" s="431"/>
      <c r="I84" s="428"/>
      <c r="J84" s="428"/>
      <c r="K84" s="433"/>
      <c r="L84" s="428"/>
    </row>
    <row r="85" spans="1:12" s="415" customFormat="1" ht="15.75">
      <c r="A85" s="431"/>
      <c r="I85" s="428"/>
      <c r="J85" s="428"/>
      <c r="K85" s="433"/>
      <c r="L85" s="428"/>
    </row>
    <row r="86" spans="1:12" s="415" customFormat="1" ht="15.75">
      <c r="A86" s="431"/>
      <c r="I86" s="428"/>
      <c r="J86" s="428"/>
      <c r="K86" s="433"/>
      <c r="L86" s="428"/>
    </row>
    <row r="99" spans="1:11" ht="15.75">
      <c r="A99" s="512"/>
      <c r="B99" s="514"/>
      <c r="C99" s="511"/>
      <c r="D99" s="511"/>
      <c r="E99" s="511"/>
      <c r="F99" s="511"/>
      <c r="G99" s="511"/>
      <c r="H99" s="511"/>
      <c r="I99" s="511"/>
      <c r="J99" s="511"/>
      <c r="K99" s="511"/>
    </row>
    <row r="100" spans="1:12" s="415" customFormat="1" ht="15.75">
      <c r="A100" s="431"/>
      <c r="I100" s="428"/>
      <c r="J100" s="428"/>
      <c r="K100" s="433"/>
      <c r="L100" s="428"/>
    </row>
    <row r="101" spans="1:12" s="415" customFormat="1" ht="15.75">
      <c r="A101" s="431"/>
      <c r="I101" s="428"/>
      <c r="J101" s="428"/>
      <c r="K101" s="433"/>
      <c r="L101" s="428"/>
    </row>
    <row r="102" spans="1:12" s="415" customFormat="1" ht="15.75">
      <c r="A102" s="431"/>
      <c r="I102" s="428"/>
      <c r="J102" s="428"/>
      <c r="K102" s="433"/>
      <c r="L102" s="428"/>
    </row>
    <row r="103" spans="1:12" s="415" customFormat="1" ht="15.75">
      <c r="A103" s="431"/>
      <c r="I103" s="428"/>
      <c r="J103" s="428"/>
      <c r="K103" s="433"/>
      <c r="L103" s="428"/>
    </row>
    <row r="104" spans="1:12" s="415" customFormat="1" ht="15.75">
      <c r="A104" s="431"/>
      <c r="I104" s="428"/>
      <c r="J104" s="428"/>
      <c r="K104" s="433"/>
      <c r="L104" s="428"/>
    </row>
    <row r="105" spans="1:12" s="415" customFormat="1" ht="15.75">
      <c r="A105" s="431"/>
      <c r="I105" s="428"/>
      <c r="J105" s="428"/>
      <c r="K105" s="433"/>
      <c r="L105" s="428"/>
    </row>
    <row r="106" spans="1:12" s="415" customFormat="1" ht="15.75">
      <c r="A106" s="431"/>
      <c r="I106" s="428"/>
      <c r="J106" s="428"/>
      <c r="K106" s="433"/>
      <c r="L106" s="428"/>
    </row>
    <row r="107" spans="1:12" s="415" customFormat="1" ht="15.75">
      <c r="A107" s="431"/>
      <c r="I107" s="428"/>
      <c r="J107" s="428"/>
      <c r="K107" s="433"/>
      <c r="L107" s="428"/>
    </row>
    <row r="108" spans="1:12" s="415" customFormat="1" ht="15.75">
      <c r="A108" s="431"/>
      <c r="I108" s="428"/>
      <c r="J108" s="428"/>
      <c r="K108" s="433"/>
      <c r="L108" s="428"/>
    </row>
    <row r="109" spans="1:12" s="415" customFormat="1" ht="15.75">
      <c r="A109" s="431"/>
      <c r="I109" s="428"/>
      <c r="J109" s="428"/>
      <c r="K109" s="433"/>
      <c r="L109" s="428"/>
    </row>
    <row r="110" spans="1:12" s="415" customFormat="1" ht="15.75">
      <c r="A110" s="431"/>
      <c r="I110" s="428"/>
      <c r="J110" s="428"/>
      <c r="K110" s="433"/>
      <c r="L110" s="428"/>
    </row>
    <row r="111" spans="1:12" s="415" customFormat="1" ht="15.75">
      <c r="A111" s="431"/>
      <c r="I111" s="428"/>
      <c r="J111" s="428"/>
      <c r="K111" s="433"/>
      <c r="L111" s="428"/>
    </row>
    <row r="112" spans="1:12" s="415" customFormat="1" ht="15.75">
      <c r="A112" s="431"/>
      <c r="I112" s="428"/>
      <c r="J112" s="428"/>
      <c r="K112" s="433"/>
      <c r="L112" s="428"/>
    </row>
    <row r="113" spans="1:12" s="415" customFormat="1" ht="15.75">
      <c r="A113" s="431"/>
      <c r="I113" s="428"/>
      <c r="J113" s="428"/>
      <c r="K113" s="433"/>
      <c r="L113" s="428"/>
    </row>
    <row r="114" spans="1:12" s="415" customFormat="1" ht="15.75">
      <c r="A114" s="431"/>
      <c r="I114" s="428"/>
      <c r="J114" s="428"/>
      <c r="K114" s="433"/>
      <c r="L114" s="428"/>
    </row>
    <row r="115" spans="1:12" s="415" customFormat="1" ht="15.75">
      <c r="A115" s="431"/>
      <c r="I115" s="428"/>
      <c r="J115" s="428"/>
      <c r="K115" s="433"/>
      <c r="L115" s="428"/>
    </row>
    <row r="116" spans="1:12" s="415" customFormat="1" ht="15.75">
      <c r="A116" s="431"/>
      <c r="I116" s="428"/>
      <c r="J116" s="428"/>
      <c r="K116" s="433"/>
      <c r="L116" s="428"/>
    </row>
    <row r="117" spans="1:12" s="415" customFormat="1" ht="15.75">
      <c r="A117" s="431"/>
      <c r="I117" s="428"/>
      <c r="J117" s="428"/>
      <c r="K117" s="433"/>
      <c r="L117" s="428"/>
    </row>
    <row r="118" spans="1:12" s="415" customFormat="1" ht="15.75">
      <c r="A118" s="431"/>
      <c r="I118" s="428"/>
      <c r="J118" s="428"/>
      <c r="K118" s="433"/>
      <c r="L118" s="428"/>
    </row>
    <row r="119" spans="1:12" s="415" customFormat="1" ht="15.75">
      <c r="A119" s="431"/>
      <c r="I119" s="428"/>
      <c r="J119" s="428"/>
      <c r="K119" s="433"/>
      <c r="L119" s="428"/>
    </row>
    <row r="120" spans="1:12" s="415" customFormat="1" ht="15.75">
      <c r="A120" s="431"/>
      <c r="I120" s="428"/>
      <c r="J120" s="428"/>
      <c r="K120" s="433"/>
      <c r="L120" s="428"/>
    </row>
    <row r="121" spans="1:12" s="415" customFormat="1" ht="15.75">
      <c r="A121" s="431"/>
      <c r="I121" s="428"/>
      <c r="J121" s="428"/>
      <c r="K121" s="433"/>
      <c r="L121" s="428"/>
    </row>
    <row r="122" spans="1:12" s="415" customFormat="1" ht="15.75">
      <c r="A122" s="431"/>
      <c r="I122" s="428"/>
      <c r="J122" s="428"/>
      <c r="K122" s="433"/>
      <c r="L122" s="428"/>
    </row>
    <row r="123" spans="1:12" s="415" customFormat="1" ht="15.75">
      <c r="A123" s="431"/>
      <c r="I123" s="428"/>
      <c r="J123" s="428"/>
      <c r="K123" s="433"/>
      <c r="L123" s="428"/>
    </row>
    <row r="124" spans="1:12" s="415" customFormat="1" ht="15.75">
      <c r="A124" s="431"/>
      <c r="I124" s="428"/>
      <c r="J124" s="428"/>
      <c r="K124" s="433"/>
      <c r="L124" s="428"/>
    </row>
    <row r="125" spans="1:12" s="415" customFormat="1" ht="15.75">
      <c r="A125" s="431"/>
      <c r="I125" s="428"/>
      <c r="J125" s="428"/>
      <c r="K125" s="433"/>
      <c r="L125" s="428"/>
    </row>
    <row r="126" spans="1:12" s="415" customFormat="1" ht="15.75">
      <c r="A126" s="431"/>
      <c r="I126" s="428"/>
      <c r="J126" s="428"/>
      <c r="K126" s="433"/>
      <c r="L126" s="428"/>
    </row>
    <row r="127" spans="1:12" s="415" customFormat="1" ht="15.75">
      <c r="A127" s="431"/>
      <c r="I127" s="428"/>
      <c r="J127" s="428"/>
      <c r="K127" s="433"/>
      <c r="L127" s="428"/>
    </row>
    <row r="128" spans="1:12" s="415" customFormat="1" ht="15.75">
      <c r="A128" s="431"/>
      <c r="I128" s="428"/>
      <c r="J128" s="428"/>
      <c r="K128" s="433"/>
      <c r="L128" s="428"/>
    </row>
    <row r="129" spans="1:12" s="415" customFormat="1" ht="15.75">
      <c r="A129" s="431"/>
      <c r="I129" s="428"/>
      <c r="J129" s="428"/>
      <c r="K129" s="433"/>
      <c r="L129" s="428"/>
    </row>
    <row r="130" spans="1:12" s="415" customFormat="1" ht="15.75">
      <c r="A130" s="431"/>
      <c r="I130" s="428"/>
      <c r="J130" s="428"/>
      <c r="K130" s="433"/>
      <c r="L130" s="428"/>
    </row>
    <row r="131" spans="1:12" s="415" customFormat="1" ht="15.75">
      <c r="A131" s="431"/>
      <c r="I131" s="428"/>
      <c r="J131" s="428"/>
      <c r="K131" s="433"/>
      <c r="L131" s="428"/>
    </row>
    <row r="132" spans="1:12" s="415" customFormat="1" ht="15.75">
      <c r="A132" s="431"/>
      <c r="I132" s="428"/>
      <c r="J132" s="428"/>
      <c r="K132" s="433"/>
      <c r="L132" s="428"/>
    </row>
    <row r="133" spans="1:12" s="415" customFormat="1" ht="15.75">
      <c r="A133" s="431"/>
      <c r="I133" s="428"/>
      <c r="J133" s="428"/>
      <c r="K133" s="433"/>
      <c r="L133" s="428"/>
    </row>
    <row r="134" spans="1:12" s="415" customFormat="1" ht="15.75">
      <c r="A134" s="431"/>
      <c r="I134" s="428"/>
      <c r="J134" s="428"/>
      <c r="K134" s="433"/>
      <c r="L134" s="428"/>
    </row>
    <row r="135" spans="1:12" s="415" customFormat="1" ht="15.75">
      <c r="A135" s="431"/>
      <c r="I135" s="428"/>
      <c r="J135" s="428"/>
      <c r="K135" s="433"/>
      <c r="L135" s="428"/>
    </row>
    <row r="136" spans="1:12" s="415" customFormat="1" ht="15.75">
      <c r="A136" s="431"/>
      <c r="I136" s="428"/>
      <c r="J136" s="428"/>
      <c r="K136" s="433"/>
      <c r="L136" s="428"/>
    </row>
    <row r="137" spans="1:12" s="415" customFormat="1" ht="15.75">
      <c r="A137" s="431"/>
      <c r="I137" s="428"/>
      <c r="J137" s="428"/>
      <c r="K137" s="433"/>
      <c r="L137" s="428"/>
    </row>
    <row r="138" spans="1:12" s="415" customFormat="1" ht="15.75">
      <c r="A138" s="431"/>
      <c r="I138" s="428"/>
      <c r="J138" s="428"/>
      <c r="K138" s="433"/>
      <c r="L138" s="428"/>
    </row>
    <row r="139" spans="1:12" s="415" customFormat="1" ht="15.75">
      <c r="A139" s="431"/>
      <c r="I139" s="428"/>
      <c r="J139" s="428"/>
      <c r="K139" s="433"/>
      <c r="L139" s="428"/>
    </row>
  </sheetData>
  <sheetProtection/>
  <mergeCells count="8">
    <mergeCell ref="B70:I70"/>
    <mergeCell ref="B52:K52"/>
    <mergeCell ref="B10:K10"/>
    <mergeCell ref="B14:K14"/>
    <mergeCell ref="B17:K17"/>
    <mergeCell ref="B20:K20"/>
    <mergeCell ref="B49:K49"/>
    <mergeCell ref="B55:K55"/>
  </mergeCells>
  <printOptions/>
  <pageMargins left="0.17" right="0.17" top="0.51" bottom="0.52" header="0.5" footer="0.23"/>
  <pageSetup firstPageNumber="44" useFirstPageNumber="1" horizontalDpi="600" verticalDpi="600" orientation="portrait" paperSize="9"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dimension ref="A1:X47"/>
  <sheetViews>
    <sheetView zoomScale="80" zoomScaleNormal="80" zoomScalePageLayoutView="0" workbookViewId="0" topLeftCell="A1">
      <selection activeCell="S7" sqref="S7"/>
    </sheetView>
  </sheetViews>
  <sheetFormatPr defaultColWidth="9.00390625" defaultRowHeight="15.75"/>
  <cols>
    <col min="1" max="1" width="4.50390625" style="418" customWidth="1"/>
    <col min="2" max="2" width="25.125" style="418" customWidth="1"/>
    <col min="3" max="3" width="11.25390625" style="418" customWidth="1"/>
    <col min="4" max="4" width="0.875" style="418" customWidth="1"/>
    <col min="5" max="5" width="12.00390625" style="418" customWidth="1"/>
    <col min="6" max="6" width="0.875" style="418" customWidth="1"/>
    <col min="7" max="7" width="12.25390625" style="418" customWidth="1"/>
    <col min="8" max="8" width="0.875" style="418" customWidth="1"/>
    <col min="9" max="9" width="11.75390625" style="418" customWidth="1"/>
    <col min="10" max="10" width="1.00390625" style="418" customWidth="1"/>
    <col min="11" max="11" width="11.75390625" style="418" bestFit="1" customWidth="1"/>
    <col min="12" max="12" width="1.12109375" style="418" customWidth="1"/>
    <col min="13" max="13" width="10.375" style="418" bestFit="1" customWidth="1"/>
    <col min="14" max="14" width="1.00390625" style="418" customWidth="1"/>
    <col min="15" max="15" width="12.625" style="418" bestFit="1" customWidth="1"/>
    <col min="16" max="16" width="1.00390625" style="418" customWidth="1"/>
    <col min="17" max="17" width="12.00390625" style="418" customWidth="1"/>
    <col min="18" max="18" width="1.00390625" style="418" customWidth="1"/>
    <col min="19" max="19" width="10.25390625" style="418" customWidth="1"/>
    <col min="20" max="20" width="0.6171875" style="418" customWidth="1"/>
    <col min="21" max="21" width="12.00390625" style="418" customWidth="1"/>
    <col min="22" max="22" width="1.12109375" style="418" customWidth="1"/>
    <col min="23" max="23" width="13.00390625" style="418" customWidth="1"/>
    <col min="24" max="24" width="1.12109375" style="418" customWidth="1"/>
    <col min="25" max="16384" width="9.00390625" style="418" customWidth="1"/>
  </cols>
  <sheetData>
    <row r="1" ht="15.75">
      <c r="A1" s="413" t="str">
        <f>Notes!A1</f>
        <v>THE UNITED REPUBLIC OF TANZANIA</v>
      </c>
    </row>
    <row r="2" ht="15.75">
      <c r="A2" s="413" t="str">
        <f>Notes!A2</f>
        <v>PRRESIDENT’S OFFICE - REGIONAL ADMINISTRATION AND LOCAL GOVERNMENT</v>
      </c>
    </row>
    <row r="3" ht="15.75">
      <c r="A3" s="413" t="str">
        <f>Notes!A3</f>
        <v>BABATI DISTRICT COUNCIL</v>
      </c>
    </row>
    <row r="4" ht="15.75">
      <c r="A4" s="413"/>
    </row>
    <row r="5" ht="15.75">
      <c r="A5" s="413" t="str">
        <f>Notes!A5</f>
        <v>NOTES TO THE FINANCIAL STATEMENTS (Continued)</v>
      </c>
    </row>
    <row r="6" ht="15.75">
      <c r="A6" s="413" t="str">
        <f>Notes!A6</f>
        <v>FOR THE YEAR ENDED 30 JUNE 2016</v>
      </c>
    </row>
    <row r="8" spans="1:4" ht="15.75">
      <c r="A8" s="478">
        <f>PPE1!A8+1</f>
        <v>32</v>
      </c>
      <c r="B8" s="413" t="s">
        <v>588</v>
      </c>
      <c r="C8" s="413"/>
      <c r="D8" s="413"/>
    </row>
    <row r="9" spans="1:2" s="451" customFormat="1" ht="15.75">
      <c r="A9" s="467"/>
      <c r="B9" s="448"/>
    </row>
    <row r="10" spans="1:24" s="477" customFormat="1" ht="15.75">
      <c r="A10" s="481"/>
      <c r="B10" s="1019"/>
      <c r="C10" s="1021" t="s">
        <v>746</v>
      </c>
      <c r="D10" s="1021"/>
      <c r="E10" s="1021"/>
      <c r="F10" s="1021"/>
      <c r="G10" s="1021"/>
      <c r="H10" s="1021"/>
      <c r="I10" s="1021"/>
      <c r="J10" s="1021"/>
      <c r="K10" s="1021"/>
      <c r="L10" s="482"/>
      <c r="M10" s="1021" t="s">
        <v>58</v>
      </c>
      <c r="N10" s="1021"/>
      <c r="O10" s="1021"/>
      <c r="P10" s="1021"/>
      <c r="Q10" s="1021"/>
      <c r="R10" s="1021"/>
      <c r="S10" s="1021"/>
      <c r="T10" s="1021"/>
      <c r="U10" s="1021"/>
      <c r="V10" s="482"/>
      <c r="W10" s="1020" t="s">
        <v>60</v>
      </c>
      <c r="X10" s="482"/>
    </row>
    <row r="11" spans="2:23" s="631" customFormat="1" ht="31.5">
      <c r="B11" s="1019"/>
      <c r="C11" s="632" t="s">
        <v>59</v>
      </c>
      <c r="D11" s="632"/>
      <c r="K11" s="631" t="s">
        <v>1784</v>
      </c>
      <c r="M11" s="631" t="s">
        <v>1784</v>
      </c>
      <c r="O11" s="631" t="s">
        <v>768</v>
      </c>
      <c r="Q11" s="631" t="s">
        <v>63</v>
      </c>
      <c r="U11" s="632" t="s">
        <v>1784</v>
      </c>
      <c r="W11" s="1020"/>
    </row>
    <row r="12" spans="3:24" s="455" customFormat="1" ht="15.75">
      <c r="C12" s="486" t="s">
        <v>61</v>
      </c>
      <c r="D12" s="474"/>
      <c r="E12" s="475" t="s">
        <v>1263</v>
      </c>
      <c r="G12" s="475" t="s">
        <v>808</v>
      </c>
      <c r="I12" s="475" t="s">
        <v>1264</v>
      </c>
      <c r="K12" s="487" t="s">
        <v>62</v>
      </c>
      <c r="L12" s="483"/>
      <c r="M12" s="487" t="s">
        <v>61</v>
      </c>
      <c r="O12" s="476" t="s">
        <v>744</v>
      </c>
      <c r="P12" s="474"/>
      <c r="Q12" s="476" t="s">
        <v>64</v>
      </c>
      <c r="R12" s="474"/>
      <c r="S12" s="475" t="s">
        <v>1264</v>
      </c>
      <c r="U12" s="486" t="s">
        <v>62</v>
      </c>
      <c r="V12" s="483"/>
      <c r="W12" s="487" t="s">
        <v>62</v>
      </c>
      <c r="X12" s="483"/>
    </row>
    <row r="13" spans="1:24" s="451" customFormat="1" ht="15.75">
      <c r="A13" s="454"/>
      <c r="B13" s="488">
        <v>2012</v>
      </c>
      <c r="C13" s="479"/>
      <c r="D13" s="479"/>
      <c r="E13" s="457"/>
      <c r="F13" s="457"/>
      <c r="G13" s="457"/>
      <c r="H13" s="457"/>
      <c r="I13" s="457"/>
      <c r="J13" s="457"/>
      <c r="K13" s="457"/>
      <c r="L13" s="484"/>
      <c r="M13" s="457"/>
      <c r="N13" s="457"/>
      <c r="O13" s="457"/>
      <c r="P13" s="457"/>
      <c r="Q13" s="457"/>
      <c r="R13" s="457"/>
      <c r="S13" s="457"/>
      <c r="T13" s="457"/>
      <c r="U13" s="457"/>
      <c r="V13" s="484"/>
      <c r="W13" s="457"/>
      <c r="X13" s="484"/>
    </row>
    <row r="14" spans="1:24" s="451" customFormat="1" ht="15.75">
      <c r="A14" s="454"/>
      <c r="B14" s="451" t="s">
        <v>1780</v>
      </c>
      <c r="C14" s="491">
        <v>0</v>
      </c>
      <c r="D14" s="480"/>
      <c r="E14" s="491">
        <v>0</v>
      </c>
      <c r="F14" s="457"/>
      <c r="G14" s="491">
        <v>0</v>
      </c>
      <c r="H14" s="457"/>
      <c r="I14" s="491">
        <v>0</v>
      </c>
      <c r="J14" s="457"/>
      <c r="K14" s="457">
        <f>SUM(C14:I14)</f>
        <v>0</v>
      </c>
      <c r="L14" s="484"/>
      <c r="M14" s="491">
        <v>0</v>
      </c>
      <c r="N14" s="457"/>
      <c r="O14" s="491">
        <v>0</v>
      </c>
      <c r="P14" s="457"/>
      <c r="Q14" s="491">
        <v>0</v>
      </c>
      <c r="R14" s="457"/>
      <c r="S14" s="491">
        <v>0</v>
      </c>
      <c r="T14" s="457"/>
      <c r="U14" s="457">
        <f>SUM(M14:S14)</f>
        <v>0</v>
      </c>
      <c r="V14" s="484"/>
      <c r="W14" s="457">
        <f>K14-U14</f>
        <v>0</v>
      </c>
      <c r="X14" s="484"/>
    </row>
    <row r="15" spans="1:24" s="451" customFormat="1" ht="15.75">
      <c r="A15" s="454"/>
      <c r="B15" s="451" t="s">
        <v>13</v>
      </c>
      <c r="C15" s="492">
        <v>0</v>
      </c>
      <c r="D15" s="457"/>
      <c r="E15" s="492">
        <v>0</v>
      </c>
      <c r="F15" s="457"/>
      <c r="G15" s="492">
        <v>0</v>
      </c>
      <c r="H15" s="457"/>
      <c r="I15" s="492">
        <v>0</v>
      </c>
      <c r="J15" s="457"/>
      <c r="K15" s="457">
        <f>SUM(C15:I15)</f>
        <v>0</v>
      </c>
      <c r="L15" s="484"/>
      <c r="M15" s="492">
        <v>0</v>
      </c>
      <c r="N15" s="457"/>
      <c r="O15" s="492">
        <v>0</v>
      </c>
      <c r="P15" s="457"/>
      <c r="Q15" s="492">
        <v>0</v>
      </c>
      <c r="R15" s="457"/>
      <c r="S15" s="492">
        <v>0</v>
      </c>
      <c r="T15" s="457"/>
      <c r="U15" s="457">
        <f>SUM(M15:S15)</f>
        <v>0</v>
      </c>
      <c r="V15" s="484"/>
      <c r="W15" s="457">
        <f>K15-U15</f>
        <v>0</v>
      </c>
      <c r="X15" s="484"/>
    </row>
    <row r="16" spans="1:24" s="451" customFormat="1" ht="15.75">
      <c r="A16" s="454"/>
      <c r="B16" s="451" t="s">
        <v>14</v>
      </c>
      <c r="C16" s="492">
        <v>0</v>
      </c>
      <c r="D16" s="457"/>
      <c r="E16" s="492">
        <v>0</v>
      </c>
      <c r="F16" s="457"/>
      <c r="G16" s="492">
        <v>0</v>
      </c>
      <c r="H16" s="457"/>
      <c r="I16" s="492">
        <v>0</v>
      </c>
      <c r="J16" s="457"/>
      <c r="K16" s="457">
        <f>SUM(C16:I16)</f>
        <v>0</v>
      </c>
      <c r="L16" s="484"/>
      <c r="M16" s="492">
        <v>0</v>
      </c>
      <c r="N16" s="457"/>
      <c r="O16" s="492">
        <v>0</v>
      </c>
      <c r="P16" s="457"/>
      <c r="Q16" s="492">
        <v>0</v>
      </c>
      <c r="R16" s="457"/>
      <c r="S16" s="492">
        <v>0</v>
      </c>
      <c r="T16" s="457"/>
      <c r="U16" s="457">
        <f>SUM(M16:S16)</f>
        <v>0</v>
      </c>
      <c r="V16" s="484"/>
      <c r="W16" s="457">
        <f>K16-U16</f>
        <v>0</v>
      </c>
      <c r="X16" s="484"/>
    </row>
    <row r="17" spans="1:24" s="448" customFormat="1" ht="12.75" customHeight="1">
      <c r="A17" s="453"/>
      <c r="B17" s="466"/>
      <c r="C17" s="493"/>
      <c r="D17" s="458"/>
      <c r="E17" s="493"/>
      <c r="F17" s="458"/>
      <c r="G17" s="493"/>
      <c r="H17" s="458"/>
      <c r="I17" s="493"/>
      <c r="J17" s="458"/>
      <c r="K17" s="458"/>
      <c r="L17" s="485"/>
      <c r="M17" s="493"/>
      <c r="N17" s="458"/>
      <c r="O17" s="493"/>
      <c r="P17" s="458"/>
      <c r="Q17" s="493"/>
      <c r="R17" s="458"/>
      <c r="S17" s="493"/>
      <c r="T17" s="458"/>
      <c r="U17" s="457"/>
      <c r="V17" s="485"/>
      <c r="W17" s="458"/>
      <c r="X17" s="485"/>
    </row>
    <row r="18" spans="1:24" s="448" customFormat="1" ht="16.5" thickBot="1">
      <c r="A18" s="453"/>
      <c r="B18" s="448" t="s">
        <v>943</v>
      </c>
      <c r="C18" s="494">
        <f>SUM(C14:C17)</f>
        <v>0</v>
      </c>
      <c r="D18" s="458"/>
      <c r="E18" s="494">
        <f>SUM(E14:E17)</f>
        <v>0</v>
      </c>
      <c r="F18" s="458"/>
      <c r="G18" s="494">
        <f>SUM(G14:G17)</f>
        <v>0</v>
      </c>
      <c r="H18" s="458"/>
      <c r="I18" s="494">
        <f>SUM(I14:I17)</f>
        <v>0</v>
      </c>
      <c r="J18" s="458"/>
      <c r="K18" s="495">
        <f>SUM(C18:I18)</f>
        <v>0</v>
      </c>
      <c r="L18" s="485"/>
      <c r="M18" s="494">
        <f>SUM(M14:M17)</f>
        <v>0</v>
      </c>
      <c r="N18" s="458"/>
      <c r="O18" s="494">
        <f>SUM(O14:O17)</f>
        <v>0</v>
      </c>
      <c r="P18" s="458"/>
      <c r="Q18" s="494">
        <f>SUM(Q14:Q17)</f>
        <v>0</v>
      </c>
      <c r="R18" s="458"/>
      <c r="S18" s="494">
        <f>SUM(S14:S17)</f>
        <v>0</v>
      </c>
      <c r="T18" s="458"/>
      <c r="U18" s="495">
        <f>SUM(M18:S18)</f>
        <v>0</v>
      </c>
      <c r="V18" s="485"/>
      <c r="W18" s="495">
        <f>K18-U18</f>
        <v>0</v>
      </c>
      <c r="X18" s="485"/>
    </row>
    <row r="19" spans="1:24" s="451" customFormat="1" ht="16.5" thickTop="1">
      <c r="A19" s="454"/>
      <c r="C19" s="457"/>
      <c r="D19" s="457"/>
      <c r="E19" s="457"/>
      <c r="F19" s="457"/>
      <c r="G19" s="457"/>
      <c r="H19" s="457"/>
      <c r="I19" s="457"/>
      <c r="J19" s="457"/>
      <c r="K19" s="457"/>
      <c r="L19" s="484"/>
      <c r="M19" s="457"/>
      <c r="N19" s="457"/>
      <c r="O19" s="457"/>
      <c r="P19" s="457"/>
      <c r="Q19" s="457"/>
      <c r="R19" s="457"/>
      <c r="S19" s="457"/>
      <c r="T19" s="457"/>
      <c r="U19" s="457"/>
      <c r="V19" s="484"/>
      <c r="W19" s="457"/>
      <c r="X19" s="484"/>
    </row>
    <row r="20" spans="1:24" s="451" customFormat="1" ht="15.75">
      <c r="A20" s="454"/>
      <c r="B20" s="488">
        <v>2011</v>
      </c>
      <c r="C20" s="457"/>
      <c r="D20" s="457"/>
      <c r="E20" s="457"/>
      <c r="F20" s="457"/>
      <c r="G20" s="457"/>
      <c r="H20" s="457"/>
      <c r="I20" s="457"/>
      <c r="J20" s="457"/>
      <c r="K20" s="457"/>
      <c r="L20" s="484"/>
      <c r="M20" s="457"/>
      <c r="N20" s="457"/>
      <c r="O20" s="457"/>
      <c r="P20" s="457"/>
      <c r="Q20" s="457"/>
      <c r="R20" s="457"/>
      <c r="S20" s="457"/>
      <c r="T20" s="457"/>
      <c r="U20" s="457"/>
      <c r="V20" s="484"/>
      <c r="W20" s="457"/>
      <c r="X20" s="484"/>
    </row>
    <row r="21" spans="1:24" s="451" customFormat="1" ht="15.75">
      <c r="A21" s="454"/>
      <c r="B21" s="451" t="s">
        <v>1780</v>
      </c>
      <c r="C21" s="491">
        <v>0</v>
      </c>
      <c r="D21" s="480"/>
      <c r="E21" s="491">
        <v>0</v>
      </c>
      <c r="F21" s="457"/>
      <c r="G21" s="491">
        <v>0</v>
      </c>
      <c r="H21" s="457"/>
      <c r="I21" s="491">
        <v>0</v>
      </c>
      <c r="J21" s="457"/>
      <c r="K21" s="457">
        <f>SUM(C21:I21)</f>
        <v>0</v>
      </c>
      <c r="L21" s="484"/>
      <c r="M21" s="491">
        <v>0</v>
      </c>
      <c r="N21" s="457"/>
      <c r="O21" s="491">
        <v>0</v>
      </c>
      <c r="P21" s="457"/>
      <c r="Q21" s="491">
        <v>0</v>
      </c>
      <c r="R21" s="457"/>
      <c r="S21" s="491">
        <v>0</v>
      </c>
      <c r="T21" s="457"/>
      <c r="U21" s="457">
        <f>SUM(M21:S21)</f>
        <v>0</v>
      </c>
      <c r="V21" s="484"/>
      <c r="W21" s="457">
        <f>K21-U21</f>
        <v>0</v>
      </c>
      <c r="X21" s="484"/>
    </row>
    <row r="22" spans="1:24" s="451" customFormat="1" ht="15.75">
      <c r="A22" s="454"/>
      <c r="B22" s="451" t="s">
        <v>13</v>
      </c>
      <c r="C22" s="492">
        <v>0</v>
      </c>
      <c r="D22" s="457"/>
      <c r="E22" s="492">
        <v>0</v>
      </c>
      <c r="F22" s="457"/>
      <c r="G22" s="492">
        <v>0</v>
      </c>
      <c r="H22" s="457"/>
      <c r="I22" s="492">
        <v>0</v>
      </c>
      <c r="J22" s="457"/>
      <c r="K22" s="457">
        <f>SUM(C22:I22)</f>
        <v>0</v>
      </c>
      <c r="L22" s="484"/>
      <c r="M22" s="492">
        <v>0</v>
      </c>
      <c r="N22" s="457"/>
      <c r="O22" s="492">
        <v>0</v>
      </c>
      <c r="P22" s="457"/>
      <c r="Q22" s="492">
        <v>0</v>
      </c>
      <c r="R22" s="457"/>
      <c r="S22" s="492">
        <v>0</v>
      </c>
      <c r="T22" s="457"/>
      <c r="U22" s="457">
        <f>SUM(M22:S22)</f>
        <v>0</v>
      </c>
      <c r="V22" s="484"/>
      <c r="W22" s="457">
        <f>K22-U22</f>
        <v>0</v>
      </c>
      <c r="X22" s="484"/>
    </row>
    <row r="23" spans="1:24" s="451" customFormat="1" ht="15.75">
      <c r="A23" s="454"/>
      <c r="B23" s="451" t="s">
        <v>14</v>
      </c>
      <c r="C23" s="492">
        <v>0</v>
      </c>
      <c r="D23" s="457"/>
      <c r="E23" s="492">
        <v>0</v>
      </c>
      <c r="F23" s="457"/>
      <c r="G23" s="492">
        <v>0</v>
      </c>
      <c r="H23" s="457"/>
      <c r="I23" s="492">
        <v>0</v>
      </c>
      <c r="J23" s="457"/>
      <c r="K23" s="457">
        <f>SUM(C23:I23)</f>
        <v>0</v>
      </c>
      <c r="L23" s="484"/>
      <c r="M23" s="492">
        <v>0</v>
      </c>
      <c r="N23" s="457"/>
      <c r="O23" s="492">
        <v>0</v>
      </c>
      <c r="P23" s="457"/>
      <c r="Q23" s="492">
        <v>0</v>
      </c>
      <c r="R23" s="457"/>
      <c r="S23" s="492">
        <v>0</v>
      </c>
      <c r="T23" s="457"/>
      <c r="U23" s="457">
        <f>SUM(M23:S23)</f>
        <v>0</v>
      </c>
      <c r="V23" s="484"/>
      <c r="W23" s="457">
        <f>K23-U23</f>
        <v>0</v>
      </c>
      <c r="X23" s="484"/>
    </row>
    <row r="24" spans="1:24" s="448" customFormat="1" ht="12.75" customHeight="1">
      <c r="A24" s="453"/>
      <c r="B24" s="466"/>
      <c r="C24" s="493"/>
      <c r="D24" s="458"/>
      <c r="E24" s="493"/>
      <c r="F24" s="458"/>
      <c r="G24" s="493"/>
      <c r="H24" s="458"/>
      <c r="I24" s="493"/>
      <c r="J24" s="458"/>
      <c r="K24" s="458"/>
      <c r="L24" s="485"/>
      <c r="M24" s="493"/>
      <c r="N24" s="458"/>
      <c r="O24" s="493"/>
      <c r="P24" s="458"/>
      <c r="Q24" s="493"/>
      <c r="R24" s="458"/>
      <c r="S24" s="493"/>
      <c r="T24" s="458"/>
      <c r="U24" s="457"/>
      <c r="V24" s="485"/>
      <c r="W24" s="458"/>
      <c r="X24" s="485"/>
    </row>
    <row r="25" spans="1:24" s="448" customFormat="1" ht="16.5" thickBot="1">
      <c r="A25" s="453"/>
      <c r="B25" s="448" t="s">
        <v>943</v>
      </c>
      <c r="C25" s="494">
        <f>SUM(C21:C24)</f>
        <v>0</v>
      </c>
      <c r="D25" s="458"/>
      <c r="E25" s="494">
        <f>SUM(E21:E24)</f>
        <v>0</v>
      </c>
      <c r="F25" s="458"/>
      <c r="G25" s="494">
        <f>SUM(G21:G24)</f>
        <v>0</v>
      </c>
      <c r="H25" s="458"/>
      <c r="I25" s="494">
        <f>SUM(I21:I24)</f>
        <v>0</v>
      </c>
      <c r="J25" s="458"/>
      <c r="K25" s="495">
        <f>SUM(C25:I25)</f>
        <v>0</v>
      </c>
      <c r="L25" s="485"/>
      <c r="M25" s="494">
        <f>SUM(M21:M24)</f>
        <v>0</v>
      </c>
      <c r="N25" s="458"/>
      <c r="O25" s="494">
        <f>SUM(O21:O24)</f>
        <v>0</v>
      </c>
      <c r="P25" s="458"/>
      <c r="Q25" s="494">
        <f>SUM(Q21:Q24)</f>
        <v>0</v>
      </c>
      <c r="R25" s="458"/>
      <c r="S25" s="494">
        <f>SUM(S21:S24)</f>
        <v>0</v>
      </c>
      <c r="T25" s="458"/>
      <c r="U25" s="495">
        <f>SUM(M25:S25)</f>
        <v>0</v>
      </c>
      <c r="V25" s="485"/>
      <c r="W25" s="495">
        <f>K25-U25</f>
        <v>0</v>
      </c>
      <c r="X25" s="485"/>
    </row>
    <row r="26" ht="16.5" thickTop="1"/>
    <row r="47" ht="15.75">
      <c r="W47" s="418">
        <f>PPE3!L45+1</f>
        <v>1</v>
      </c>
    </row>
  </sheetData>
  <sheetProtection/>
  <mergeCells count="4">
    <mergeCell ref="B10:B11"/>
    <mergeCell ref="W10:W11"/>
    <mergeCell ref="M10:U10"/>
    <mergeCell ref="C10:K10"/>
  </mergeCells>
  <printOptions/>
  <pageMargins left="0.32" right="0.39" top="0.42" bottom="0.23" header="0.41" footer="0.19"/>
  <pageSetup horizontalDpi="1200" verticalDpi="1200" orientation="landscape" paperSize="8" scale="110" r:id="rId1"/>
</worksheet>
</file>

<file path=xl/worksheets/sheet18.xml><?xml version="1.0" encoding="utf-8"?>
<worksheet xmlns="http://schemas.openxmlformats.org/spreadsheetml/2006/main" xmlns:r="http://schemas.openxmlformats.org/officeDocument/2006/relationships">
  <dimension ref="A1:P433"/>
  <sheetViews>
    <sheetView zoomScaleSheetLayoutView="75" zoomScalePageLayoutView="0" workbookViewId="0" topLeftCell="A370">
      <selection activeCell="F395" sqref="F395"/>
    </sheetView>
  </sheetViews>
  <sheetFormatPr defaultColWidth="9.00390625" defaultRowHeight="15.75"/>
  <cols>
    <col min="1" max="1" width="4.125" style="877" customWidth="1"/>
    <col min="2" max="2" width="3.125" style="878" customWidth="1"/>
    <col min="3" max="3" width="26.875" style="878" customWidth="1"/>
    <col min="4" max="4" width="18.375" style="878" bestFit="1" customWidth="1"/>
    <col min="5" max="5" width="0.875" style="878" customWidth="1"/>
    <col min="6" max="6" width="18.50390625" style="802" customWidth="1"/>
    <col min="7" max="7" width="0.6171875" style="879" customWidth="1"/>
    <col min="8" max="8" width="16.375" style="802" customWidth="1"/>
    <col min="9" max="9" width="0.6171875" style="878" customWidth="1"/>
    <col min="10" max="10" width="14.50390625" style="878" bestFit="1" customWidth="1"/>
    <col min="11" max="11" width="15.375" style="878" customWidth="1"/>
    <col min="12" max="13" width="1.875" style="878" customWidth="1"/>
    <col min="14" max="14" width="9.625" style="878" bestFit="1" customWidth="1"/>
    <col min="15" max="16384" width="9.00390625" style="878" customWidth="1"/>
  </cols>
  <sheetData>
    <row r="1" ht="15.75">
      <c r="A1" s="877" t="str">
        <f>'IS'!A1</f>
        <v>THE UNITED REPUBLIC OF TANZANIA</v>
      </c>
    </row>
    <row r="2" ht="15.75">
      <c r="A2" s="877" t="str">
        <f>'IS'!A2</f>
        <v>PRRESIDENT’S OFFICE - REGIONAL ADMINISTRATION AND LOCAL GOVERNMENT</v>
      </c>
    </row>
    <row r="3" ht="15.75">
      <c r="A3" s="877" t="str">
        <f>'IS'!A3</f>
        <v>BABATI DISTRICT COUNCIL</v>
      </c>
    </row>
    <row r="4" ht="8.25" customHeight="1"/>
    <row r="5" ht="15.75">
      <c r="A5" s="877" t="s">
        <v>1748</v>
      </c>
    </row>
    <row r="6" ht="15.75">
      <c r="A6" s="877" t="str">
        <f>'IS'!A6</f>
        <v>FOR THE YEAR ENDED 30 JUNE 2016</v>
      </c>
    </row>
    <row r="7" spans="2:9" ht="15.75">
      <c r="B7" s="880"/>
      <c r="C7" s="880"/>
      <c r="F7" s="881">
        <v>2016</v>
      </c>
      <c r="G7" s="882"/>
      <c r="H7" s="881">
        <v>2015</v>
      </c>
      <c r="I7" s="883"/>
    </row>
    <row r="8" spans="6:9" ht="12.75" customHeight="1">
      <c r="F8" s="884" t="s">
        <v>1202</v>
      </c>
      <c r="G8" s="885"/>
      <c r="H8" s="884" t="s">
        <v>1202</v>
      </c>
      <c r="I8" s="886"/>
    </row>
    <row r="9" spans="1:3" ht="15.75">
      <c r="A9" s="887">
        <v>17</v>
      </c>
      <c r="B9" s="880" t="s">
        <v>1862</v>
      </c>
      <c r="C9" s="880"/>
    </row>
    <row r="10" spans="2:3" ht="15.75">
      <c r="B10" s="880"/>
      <c r="C10" s="880"/>
    </row>
    <row r="11" spans="2:16" ht="15.75">
      <c r="B11" s="878" t="s">
        <v>373</v>
      </c>
      <c r="C11" s="880"/>
      <c r="F11" s="802">
        <f>(50000+3000+15572034.11)/1000</f>
        <v>15625.034109999999</v>
      </c>
      <c r="H11" s="802">
        <v>28150.4778</v>
      </c>
      <c r="I11" s="888"/>
      <c r="J11" s="889"/>
      <c r="K11" s="880"/>
      <c r="N11" s="802"/>
      <c r="O11" s="879"/>
      <c r="P11" s="802"/>
    </row>
    <row r="12" spans="2:16" ht="15.75">
      <c r="B12" s="878" t="s">
        <v>1523</v>
      </c>
      <c r="C12" s="880"/>
      <c r="F12" s="802">
        <f>(89000000+2381725+325068590)/1000</f>
        <v>416450.315</v>
      </c>
      <c r="H12" s="879">
        <v>529291.2091</v>
      </c>
      <c r="I12" s="826"/>
      <c r="J12" s="889"/>
      <c r="K12" s="880"/>
      <c r="N12" s="879"/>
      <c r="O12" s="879"/>
      <c r="P12" s="802"/>
    </row>
    <row r="13" spans="2:16" ht="15.75">
      <c r="B13" s="878" t="s">
        <v>1524</v>
      </c>
      <c r="C13" s="880"/>
      <c r="F13" s="802">
        <f>142136179.52/1000</f>
        <v>142136.17952</v>
      </c>
      <c r="H13" s="879">
        <v>179293.63966999998</v>
      </c>
      <c r="I13" s="826"/>
      <c r="J13" s="889"/>
      <c r="K13" s="880"/>
      <c r="N13" s="879"/>
      <c r="O13" s="879"/>
      <c r="P13" s="802"/>
    </row>
    <row r="14" spans="2:16" ht="15.75">
      <c r="B14" s="878" t="s">
        <v>1832</v>
      </c>
      <c r="C14" s="880"/>
      <c r="F14" s="802">
        <v>0</v>
      </c>
      <c r="H14" s="879">
        <v>0</v>
      </c>
      <c r="I14" s="826"/>
      <c r="K14" s="880"/>
      <c r="N14" s="879"/>
      <c r="O14" s="879"/>
      <c r="P14" s="802"/>
    </row>
    <row r="15" spans="3:9" ht="16.5" thickBot="1">
      <c r="C15" s="880"/>
      <c r="F15" s="890">
        <f>SUM(F11:F14)</f>
        <v>574211.5286300001</v>
      </c>
      <c r="G15" s="885"/>
      <c r="H15" s="890">
        <f>SUM(H11:H14)</f>
        <v>736735.3265699999</v>
      </c>
      <c r="I15" s="891"/>
    </row>
    <row r="16" spans="1:9" ht="18.75" customHeight="1" thickTop="1">
      <c r="A16" s="984" t="s">
        <v>2467</v>
      </c>
      <c r="I16" s="888"/>
    </row>
    <row r="17" spans="1:9" ht="11.25" customHeight="1">
      <c r="A17" s="982"/>
      <c r="I17" s="888"/>
    </row>
    <row r="18" spans="3:9" ht="11.25" customHeight="1">
      <c r="C18" s="880"/>
      <c r="I18" s="888"/>
    </row>
    <row r="19" spans="1:9" ht="15.75">
      <c r="A19" s="877">
        <f>A9+1</f>
        <v>18</v>
      </c>
      <c r="B19" s="883" t="s">
        <v>1525</v>
      </c>
      <c r="C19" s="880"/>
      <c r="I19" s="888"/>
    </row>
    <row r="20" spans="3:9" ht="12" customHeight="1">
      <c r="C20" s="880"/>
      <c r="I20" s="888"/>
    </row>
    <row r="21" spans="2:9" ht="15.75">
      <c r="B21" s="878" t="s">
        <v>374</v>
      </c>
      <c r="C21" s="880"/>
      <c r="F21" s="802">
        <f>(82713030+4982000+997500)/1000</f>
        <v>88692.53</v>
      </c>
      <c r="H21" s="802">
        <v>84633.315</v>
      </c>
      <c r="I21" s="888"/>
    </row>
    <row r="22" spans="2:10" ht="15.75">
      <c r="B22" s="878" t="s">
        <v>1859</v>
      </c>
      <c r="C22" s="880"/>
      <c r="F22" s="802">
        <f>(2130550+7991000+26668800+1150000+12260000+194170155.6+17700000+4570000)/1000</f>
        <v>266640.5056</v>
      </c>
      <c r="H22" s="802">
        <v>191069.9805</v>
      </c>
      <c r="I22" s="888"/>
      <c r="J22" s="889"/>
    </row>
    <row r="23" spans="2:9" ht="15.75">
      <c r="B23" s="878" t="s">
        <v>1860</v>
      </c>
      <c r="C23" s="880"/>
      <c r="F23" s="802">
        <f>(24173900+62916100+6300000+28793000+120000)/1000</f>
        <v>122303</v>
      </c>
      <c r="H23" s="802">
        <v>146425.1575</v>
      </c>
      <c r="I23" s="888"/>
    </row>
    <row r="24" spans="2:9" ht="15.75">
      <c r="B24" s="878" t="s">
        <v>1861</v>
      </c>
      <c r="C24" s="880"/>
      <c r="F24" s="802">
        <f>6540071/1000</f>
        <v>6540.071</v>
      </c>
      <c r="H24" s="802">
        <v>0</v>
      </c>
      <c r="I24" s="888"/>
    </row>
    <row r="25" spans="2:11" ht="15.75">
      <c r="B25" s="878" t="s">
        <v>1863</v>
      </c>
      <c r="C25" s="880"/>
      <c r="F25" s="802">
        <f>(84000+192270)/1000</f>
        <v>276.27</v>
      </c>
      <c r="H25" s="802">
        <v>13809.929</v>
      </c>
      <c r="I25" s="888"/>
      <c r="K25" s="892"/>
    </row>
    <row r="26" spans="3:11" ht="16.5" thickBot="1">
      <c r="C26" s="880"/>
      <c r="F26" s="890">
        <f>SUM(F21:F25)</f>
        <v>484452.37659999996</v>
      </c>
      <c r="G26" s="885"/>
      <c r="H26" s="890">
        <f>SUM(H21:H25)</f>
        <v>435938.382</v>
      </c>
      <c r="I26" s="891"/>
      <c r="K26" s="889"/>
    </row>
    <row r="27" spans="1:11" ht="17.25" thickTop="1">
      <c r="A27" s="983" t="s">
        <v>2468</v>
      </c>
      <c r="C27" s="880"/>
      <c r="F27" s="885"/>
      <c r="G27" s="885"/>
      <c r="H27" s="885"/>
      <c r="I27" s="891"/>
      <c r="K27" s="889"/>
    </row>
    <row r="28" spans="3:11" ht="9.75" customHeight="1">
      <c r="C28" s="880"/>
      <c r="F28" s="885"/>
      <c r="G28" s="885"/>
      <c r="H28" s="885"/>
      <c r="I28" s="891"/>
      <c r="K28" s="889"/>
    </row>
    <row r="29" spans="3:11" ht="9.75" customHeight="1">
      <c r="C29" s="880"/>
      <c r="I29" s="888"/>
      <c r="K29" s="892"/>
    </row>
    <row r="30" spans="1:15" ht="15.75">
      <c r="A30" s="877">
        <f>A19+1</f>
        <v>19</v>
      </c>
      <c r="B30" s="893" t="s">
        <v>732</v>
      </c>
      <c r="C30" s="893"/>
      <c r="D30" s="893"/>
      <c r="E30" s="894"/>
      <c r="F30" s="895"/>
      <c r="G30" s="896"/>
      <c r="H30" s="895"/>
      <c r="I30" s="894"/>
      <c r="J30" s="894"/>
      <c r="K30" s="894"/>
      <c r="L30" s="894"/>
      <c r="M30" s="894"/>
      <c r="N30" s="894"/>
      <c r="O30" s="894"/>
    </row>
    <row r="31" spans="2:15" ht="9.75" customHeight="1">
      <c r="B31" s="893"/>
      <c r="C31" s="893"/>
      <c r="D31" s="893"/>
      <c r="E31" s="894"/>
      <c r="F31" s="895"/>
      <c r="G31" s="896"/>
      <c r="H31" s="895"/>
      <c r="I31" s="894"/>
      <c r="J31" s="894"/>
      <c r="K31" s="894"/>
      <c r="L31" s="894"/>
      <c r="M31" s="894"/>
      <c r="N31" s="894"/>
      <c r="O31" s="894"/>
    </row>
    <row r="32" spans="2:15" ht="15.75">
      <c r="B32" s="897" t="s">
        <v>733</v>
      </c>
      <c r="C32" s="893"/>
      <c r="D32" s="893"/>
      <c r="E32" s="894"/>
      <c r="F32" s="879">
        <f>H57</f>
        <v>305706.50291000307</v>
      </c>
      <c r="G32" s="896"/>
      <c r="H32" s="879">
        <v>443094.6718299985</v>
      </c>
      <c r="I32" s="894"/>
      <c r="J32" s="894"/>
      <c r="K32" s="898"/>
      <c r="L32" s="894"/>
      <c r="M32" s="894"/>
      <c r="N32" s="894"/>
      <c r="O32" s="802"/>
    </row>
    <row r="33" spans="2:15" ht="4.5" customHeight="1">
      <c r="B33" s="897"/>
      <c r="C33" s="893"/>
      <c r="D33" s="893"/>
      <c r="E33" s="894"/>
      <c r="F33" s="885"/>
      <c r="G33" s="899"/>
      <c r="H33" s="885"/>
      <c r="I33" s="894"/>
      <c r="J33" s="894"/>
      <c r="K33" s="894"/>
      <c r="L33" s="894"/>
      <c r="M33" s="894"/>
      <c r="N33" s="894"/>
      <c r="O33" s="894"/>
    </row>
    <row r="34" spans="2:15" ht="15.75">
      <c r="B34" s="900" t="s">
        <v>599</v>
      </c>
      <c r="C34" s="893"/>
      <c r="D34" s="893"/>
      <c r="E34" s="894"/>
      <c r="F34" s="895"/>
      <c r="G34" s="896"/>
      <c r="H34" s="895"/>
      <c r="I34" s="894"/>
      <c r="J34" s="894"/>
      <c r="K34" s="894"/>
      <c r="L34" s="894"/>
      <c r="M34" s="894"/>
      <c r="N34" s="894"/>
      <c r="O34" s="894"/>
    </row>
    <row r="35" spans="2:16" ht="15.75">
      <c r="B35" s="901" t="s">
        <v>1706</v>
      </c>
      <c r="C35" s="901"/>
      <c r="D35" s="902"/>
      <c r="E35" s="894"/>
      <c r="I35" s="903"/>
      <c r="J35" s="901"/>
      <c r="K35" s="904"/>
      <c r="L35" s="901"/>
      <c r="M35" s="894"/>
      <c r="N35" s="802"/>
      <c r="O35" s="879"/>
      <c r="P35" s="802"/>
    </row>
    <row r="36" spans="2:16" ht="15.75">
      <c r="B36" s="901"/>
      <c r="C36" s="901" t="s">
        <v>734</v>
      </c>
      <c r="D36" s="902"/>
      <c r="E36" s="894"/>
      <c r="F36" s="905">
        <f>24150994241.39/1000</f>
        <v>24150994.24139</v>
      </c>
      <c r="H36" s="802">
        <v>20635402.5</v>
      </c>
      <c r="I36" s="903"/>
      <c r="J36" s="901"/>
      <c r="K36" s="902"/>
      <c r="L36" s="901"/>
      <c r="M36" s="894"/>
      <c r="N36" s="802"/>
      <c r="O36" s="879"/>
      <c r="P36" s="802"/>
    </row>
    <row r="37" spans="2:16" ht="16.5">
      <c r="B37" s="901"/>
      <c r="C37" s="901" t="s">
        <v>244</v>
      </c>
      <c r="D37" s="902"/>
      <c r="E37" s="894"/>
      <c r="F37" s="802">
        <f>(1415451656-60506000-18128000)/1000</f>
        <v>1336817.656</v>
      </c>
      <c r="H37" s="802">
        <v>1289404.845</v>
      </c>
      <c r="I37" s="903"/>
      <c r="K37" s="906"/>
      <c r="N37" s="802"/>
      <c r="O37" s="879"/>
      <c r="P37" s="802"/>
    </row>
    <row r="38" spans="2:16" ht="15.75">
      <c r="B38" s="901"/>
      <c r="C38" s="901" t="s">
        <v>735</v>
      </c>
      <c r="D38" s="902"/>
      <c r="E38" s="894"/>
      <c r="F38" s="802">
        <f>466585000/1000</f>
        <v>466585</v>
      </c>
      <c r="H38" s="802">
        <v>891712.78</v>
      </c>
      <c r="I38" s="903"/>
      <c r="K38" s="889"/>
      <c r="N38" s="802"/>
      <c r="O38" s="879"/>
      <c r="P38" s="802"/>
    </row>
    <row r="39" spans="2:16" ht="15.75">
      <c r="B39" s="901"/>
      <c r="C39" s="901" t="s">
        <v>736</v>
      </c>
      <c r="D39" s="902"/>
      <c r="E39" s="894"/>
      <c r="F39" s="802">
        <f>60506000/1000</f>
        <v>60506</v>
      </c>
      <c r="H39" s="879">
        <v>150791</v>
      </c>
      <c r="I39" s="903"/>
      <c r="J39" s="892"/>
      <c r="K39" s="889"/>
      <c r="N39" s="884"/>
      <c r="O39" s="885"/>
      <c r="P39" s="884"/>
    </row>
    <row r="40" spans="2:16" ht="15.75">
      <c r="B40" s="901"/>
      <c r="C40" s="901" t="s">
        <v>737</v>
      </c>
      <c r="D40" s="901"/>
      <c r="E40" s="894"/>
      <c r="F40" s="802">
        <f>18128000/1000</f>
        <v>18128</v>
      </c>
      <c r="H40" s="802">
        <v>97069</v>
      </c>
      <c r="I40" s="903"/>
      <c r="K40" s="889"/>
      <c r="N40" s="802"/>
      <c r="O40" s="879"/>
      <c r="P40" s="802"/>
    </row>
    <row r="41" spans="2:15" ht="15.75">
      <c r="B41" s="901"/>
      <c r="C41" s="901" t="s">
        <v>738</v>
      </c>
      <c r="D41" s="901"/>
      <c r="E41" s="894"/>
      <c r="F41" s="802">
        <f>59396400/1000</f>
        <v>59396.4</v>
      </c>
      <c r="H41" s="802">
        <v>62117</v>
      </c>
      <c r="I41" s="903"/>
      <c r="J41" s="898"/>
      <c r="K41" s="907"/>
      <c r="L41" s="894"/>
      <c r="M41" s="894"/>
      <c r="N41" s="894"/>
      <c r="O41" s="894"/>
    </row>
    <row r="42" spans="2:15" ht="16.5">
      <c r="B42" s="901"/>
      <c r="C42" s="908" t="s">
        <v>2268</v>
      </c>
      <c r="D42" s="901"/>
      <c r="E42" s="894"/>
      <c r="F42" s="802">
        <v>0</v>
      </c>
      <c r="H42" s="802">
        <v>50131.647549999994</v>
      </c>
      <c r="I42" s="903"/>
      <c r="J42" s="898"/>
      <c r="K42" s="907"/>
      <c r="L42" s="894"/>
      <c r="M42" s="894"/>
      <c r="N42" s="894"/>
      <c r="O42" s="894"/>
    </row>
    <row r="43" spans="2:15" ht="16.5">
      <c r="B43" s="901"/>
      <c r="C43" s="908" t="s">
        <v>2269</v>
      </c>
      <c r="D43" s="901"/>
      <c r="E43" s="894"/>
      <c r="F43" s="802">
        <f>24678099.81/1000</f>
        <v>24678.09981</v>
      </c>
      <c r="H43" s="802">
        <v>181359.86506</v>
      </c>
      <c r="I43" s="903"/>
      <c r="J43" s="898"/>
      <c r="K43" s="907"/>
      <c r="L43" s="894"/>
      <c r="M43" s="894"/>
      <c r="N43" s="894"/>
      <c r="O43" s="894"/>
    </row>
    <row r="44" spans="2:15" ht="16.5">
      <c r="B44" s="901"/>
      <c r="C44" s="908" t="s">
        <v>2281</v>
      </c>
      <c r="D44" s="901"/>
      <c r="E44" s="894"/>
      <c r="F44" s="802">
        <f>(1188123402.43-644503262.96)/1000</f>
        <v>543620.13947</v>
      </c>
      <c r="H44" s="802">
        <v>371798.65811</v>
      </c>
      <c r="I44" s="903"/>
      <c r="J44" s="898"/>
      <c r="K44" s="907"/>
      <c r="L44" s="894"/>
      <c r="M44" s="894"/>
      <c r="N44" s="894"/>
      <c r="O44" s="894"/>
    </row>
    <row r="45" spans="2:15" ht="16.5">
      <c r="B45" s="901"/>
      <c r="C45" s="908" t="s">
        <v>2264</v>
      </c>
      <c r="D45" s="901"/>
      <c r="E45" s="894"/>
      <c r="F45" s="802">
        <f>3078190000/1000</f>
        <v>3078190</v>
      </c>
      <c r="H45" s="802">
        <v>36063</v>
      </c>
      <c r="I45" s="903"/>
      <c r="J45" s="898"/>
      <c r="K45" s="907"/>
      <c r="L45" s="894"/>
      <c r="M45" s="894"/>
      <c r="N45" s="894"/>
      <c r="O45" s="894"/>
    </row>
    <row r="46" spans="2:15" ht="16.5">
      <c r="B46" s="901"/>
      <c r="C46" s="908" t="s">
        <v>2270</v>
      </c>
      <c r="D46" s="901"/>
      <c r="E46" s="894"/>
      <c r="F46" s="802">
        <f>61592000/1000</f>
        <v>61592</v>
      </c>
      <c r="H46" s="802">
        <v>61592</v>
      </c>
      <c r="I46" s="903"/>
      <c r="J46" s="898"/>
      <c r="K46" s="907"/>
      <c r="L46" s="894"/>
      <c r="M46" s="894"/>
      <c r="N46" s="894"/>
      <c r="O46" s="894"/>
    </row>
    <row r="47" spans="2:15" ht="16.5">
      <c r="B47" s="901"/>
      <c r="C47" s="908" t="s">
        <v>2271</v>
      </c>
      <c r="D47" s="901"/>
      <c r="E47" s="894"/>
      <c r="F47" s="802">
        <f>33564105/1000</f>
        <v>33564.105</v>
      </c>
      <c r="H47" s="802">
        <v>51237.62164</v>
      </c>
      <c r="I47" s="903"/>
      <c r="J47" s="898"/>
      <c r="K47" s="907"/>
      <c r="L47" s="894"/>
      <c r="M47" s="894"/>
      <c r="N47" s="894"/>
      <c r="O47" s="894"/>
    </row>
    <row r="48" spans="2:15" ht="15.75">
      <c r="B48" s="901"/>
      <c r="C48" s="901" t="s">
        <v>2267</v>
      </c>
      <c r="E48" s="909"/>
      <c r="F48" s="895">
        <f>5320000/1000</f>
        <v>5320</v>
      </c>
      <c r="G48" s="802">
        <v>11899.347</v>
      </c>
      <c r="H48" s="802">
        <v>11899.347</v>
      </c>
      <c r="I48" s="903"/>
      <c r="J48" s="898"/>
      <c r="K48" s="907"/>
      <c r="L48" s="894"/>
      <c r="M48" s="894"/>
      <c r="N48" s="894"/>
      <c r="O48" s="894"/>
    </row>
    <row r="49" spans="2:15" ht="15.75">
      <c r="B49" s="901"/>
      <c r="C49" s="901" t="s">
        <v>2464</v>
      </c>
      <c r="E49" s="909"/>
      <c r="F49" s="895">
        <f>(308638000+296846000)/1000</f>
        <v>605484</v>
      </c>
      <c r="G49" s="802"/>
      <c r="H49" s="802">
        <f>0</f>
        <v>0</v>
      </c>
      <c r="I49" s="903"/>
      <c r="J49" s="898"/>
      <c r="K49" s="907"/>
      <c r="L49" s="894"/>
      <c r="M49" s="894"/>
      <c r="N49" s="894"/>
      <c r="O49" s="894"/>
    </row>
    <row r="50" spans="2:15" ht="15.75">
      <c r="B50" s="901"/>
      <c r="C50" s="901" t="s">
        <v>2294</v>
      </c>
      <c r="E50" s="909"/>
      <c r="F50" s="895">
        <f>3300000/1000</f>
        <v>3300</v>
      </c>
      <c r="G50" s="802"/>
      <c r="H50" s="802">
        <v>0</v>
      </c>
      <c r="I50" s="903"/>
      <c r="J50" s="898"/>
      <c r="K50" s="907"/>
      <c r="L50" s="894"/>
      <c r="M50" s="894"/>
      <c r="N50" s="894"/>
      <c r="O50" s="894"/>
    </row>
    <row r="51" spans="1:15" s="880" customFormat="1" ht="15.75">
      <c r="A51" s="877"/>
      <c r="B51" s="910"/>
      <c r="C51" s="910"/>
      <c r="D51" s="910"/>
      <c r="E51" s="893"/>
      <c r="F51" s="884">
        <f>SUM(F36:F50)</f>
        <v>30448175.64167</v>
      </c>
      <c r="G51" s="884">
        <f>SUM(G35:G41)</f>
        <v>0</v>
      </c>
      <c r="H51" s="884">
        <f>SUM(H36:H50)</f>
        <v>23890579.264360003</v>
      </c>
      <c r="I51" s="911"/>
      <c r="J51" s="912"/>
      <c r="K51" s="913"/>
      <c r="L51" s="893"/>
      <c r="M51" s="893"/>
      <c r="N51" s="893"/>
      <c r="O51" s="893"/>
    </row>
    <row r="52" spans="2:15" ht="16.5">
      <c r="B52" s="908" t="s">
        <v>2287</v>
      </c>
      <c r="C52" s="908" t="s">
        <v>2287</v>
      </c>
      <c r="D52" s="909"/>
      <c r="E52" s="894"/>
      <c r="F52" s="802">
        <f>90195100/1000</f>
        <v>90195.1</v>
      </c>
      <c r="H52" s="879">
        <v>90602.56672</v>
      </c>
      <c r="I52" s="903"/>
      <c r="J52" s="914"/>
      <c r="K52" s="894"/>
      <c r="L52" s="894"/>
      <c r="M52" s="894"/>
      <c r="N52" s="894"/>
      <c r="O52" s="894"/>
    </row>
    <row r="53" spans="1:11" ht="15.75">
      <c r="A53" s="915"/>
      <c r="B53" s="878" t="s">
        <v>2078</v>
      </c>
      <c r="F53" s="802">
        <f>F32+F51+F52</f>
        <v>30844077.244580004</v>
      </c>
      <c r="G53" s="802">
        <f>G32+G51+G52</f>
        <v>0</v>
      </c>
      <c r="H53" s="802">
        <f>H32+H51+H52</f>
        <v>24424276.502910003</v>
      </c>
      <c r="I53" s="888"/>
      <c r="J53" s="888"/>
      <c r="K53" s="889"/>
    </row>
    <row r="54" spans="1:11" ht="6.75" customHeight="1">
      <c r="A54" s="915"/>
      <c r="D54" s="889"/>
      <c r="I54" s="888"/>
      <c r="K54" s="889"/>
    </row>
    <row r="55" spans="1:14" ht="15.75">
      <c r="A55" s="915"/>
      <c r="B55" s="878" t="s">
        <v>739</v>
      </c>
      <c r="D55" s="889"/>
      <c r="F55" s="802">
        <f>29233618+90195+685647+605484</f>
        <v>30614944</v>
      </c>
      <c r="H55" s="802">
        <v>24118570</v>
      </c>
      <c r="I55" s="888"/>
      <c r="J55" s="888"/>
      <c r="K55" s="802"/>
      <c r="N55" s="892"/>
    </row>
    <row r="56" spans="1:14" ht="7.5" customHeight="1">
      <c r="A56" s="915"/>
      <c r="D56" s="916"/>
      <c r="I56" s="888"/>
      <c r="J56" s="916"/>
      <c r="K56" s="888"/>
      <c r="N56" s="892"/>
    </row>
    <row r="57" spans="1:11" ht="17.25" thickBot="1">
      <c r="A57" s="915"/>
      <c r="B57" s="878" t="s">
        <v>740</v>
      </c>
      <c r="F57" s="890">
        <f>F53-F55</f>
        <v>229133.24458000436</v>
      </c>
      <c r="H57" s="917">
        <f>H53-H55</f>
        <v>305706.50291000307</v>
      </c>
      <c r="I57" s="888"/>
      <c r="J57" s="918"/>
      <c r="K57" s="916"/>
    </row>
    <row r="58" spans="1:11" ht="17.25" thickTop="1">
      <c r="A58" s="983" t="s">
        <v>2469</v>
      </c>
      <c r="F58" s="885"/>
      <c r="H58" s="879"/>
      <c r="I58" s="888"/>
      <c r="J58" s="918"/>
      <c r="K58" s="916"/>
    </row>
    <row r="59" spans="1:11" ht="16.5">
      <c r="A59" s="915"/>
      <c r="F59" s="885"/>
      <c r="H59" s="879"/>
      <c r="I59" s="888"/>
      <c r="J59" s="918"/>
      <c r="K59" s="916"/>
    </row>
    <row r="60" spans="1:10" ht="15.75">
      <c r="A60" s="877">
        <f>A30+1</f>
        <v>20</v>
      </c>
      <c r="B60" s="880" t="s">
        <v>1526</v>
      </c>
      <c r="I60" s="888"/>
      <c r="J60" s="892"/>
    </row>
    <row r="61" ht="11.25" customHeight="1">
      <c r="I61" s="888"/>
    </row>
    <row r="62" spans="2:9" ht="15.75">
      <c r="B62" s="878" t="s">
        <v>1864</v>
      </c>
      <c r="F62" s="802">
        <f>(13825000)/1000</f>
        <v>13825</v>
      </c>
      <c r="H62" s="802">
        <v>16926.524</v>
      </c>
      <c r="I62" s="888"/>
    </row>
    <row r="63" spans="2:9" ht="15.75">
      <c r="B63" s="878" t="s">
        <v>1865</v>
      </c>
      <c r="F63" s="802">
        <v>0</v>
      </c>
      <c r="H63" s="802">
        <v>12482</v>
      </c>
      <c r="I63" s="888"/>
    </row>
    <row r="64" spans="6:9" ht="16.5" thickBot="1">
      <c r="F64" s="890">
        <f>SUM(F62:F63)</f>
        <v>13825</v>
      </c>
      <c r="G64" s="885"/>
      <c r="H64" s="890">
        <f>SUM(H62:H63)</f>
        <v>29408.524</v>
      </c>
      <c r="I64" s="919"/>
    </row>
    <row r="65" spans="1:9" ht="17.25" thickTop="1">
      <c r="A65" s="983" t="s">
        <v>2470</v>
      </c>
      <c r="F65" s="885"/>
      <c r="G65" s="885"/>
      <c r="H65" s="885"/>
      <c r="I65" s="919"/>
    </row>
    <row r="66" spans="6:9" ht="15.75">
      <c r="F66" s="885"/>
      <c r="G66" s="885"/>
      <c r="H66" s="885"/>
      <c r="I66" s="919"/>
    </row>
    <row r="67" spans="1:15" ht="15.75">
      <c r="A67" s="877">
        <f>A60+1</f>
        <v>21</v>
      </c>
      <c r="B67" s="910" t="s">
        <v>1867</v>
      </c>
      <c r="C67" s="910"/>
      <c r="D67" s="920"/>
      <c r="E67" s="894"/>
      <c r="F67" s="895"/>
      <c r="G67" s="896"/>
      <c r="H67" s="895"/>
      <c r="I67" s="894"/>
      <c r="J67" s="894"/>
      <c r="K67" s="894"/>
      <c r="L67" s="894"/>
      <c r="M67" s="894"/>
      <c r="N67" s="894"/>
      <c r="O67" s="894"/>
    </row>
    <row r="68" spans="2:15" ht="15.75">
      <c r="B68" s="910"/>
      <c r="C68" s="910"/>
      <c r="D68" s="921"/>
      <c r="E68" s="894"/>
      <c r="F68" s="895"/>
      <c r="G68" s="896"/>
      <c r="H68" s="895"/>
      <c r="I68" s="894"/>
      <c r="J68" s="894"/>
      <c r="K68" s="894"/>
      <c r="L68" s="894"/>
      <c r="M68" s="894"/>
      <c r="N68" s="894"/>
      <c r="O68" s="894"/>
    </row>
    <row r="69" spans="2:15" ht="15.75">
      <c r="B69" s="878" t="s">
        <v>1055</v>
      </c>
      <c r="C69" s="894"/>
      <c r="D69" s="894"/>
      <c r="E69" s="894"/>
      <c r="F69" s="802">
        <f>(687308365.28+39414535)/1000</f>
        <v>726722.90028</v>
      </c>
      <c r="H69" s="802">
        <v>930758.43721</v>
      </c>
      <c r="I69" s="894"/>
      <c r="J69" s="922"/>
      <c r="K69" s="889"/>
      <c r="L69" s="894"/>
      <c r="M69" s="894"/>
      <c r="N69" s="894"/>
      <c r="O69" s="894"/>
    </row>
    <row r="70" spans="2:15" ht="15.75">
      <c r="B70" s="878" t="s">
        <v>1868</v>
      </c>
      <c r="C70" s="894"/>
      <c r="D70" s="894"/>
      <c r="E70" s="894"/>
      <c r="F70" s="802">
        <f>146065467/1000</f>
        <v>146065.467</v>
      </c>
      <c r="H70" s="802">
        <v>98475.1</v>
      </c>
      <c r="I70" s="894"/>
      <c r="J70" s="894"/>
      <c r="K70" s="922"/>
      <c r="L70" s="894"/>
      <c r="M70" s="894"/>
      <c r="N70" s="894"/>
      <c r="O70" s="894"/>
    </row>
    <row r="71" spans="2:15" ht="16.5" thickBot="1">
      <c r="B71" s="894"/>
      <c r="C71" s="894"/>
      <c r="D71" s="894"/>
      <c r="E71" s="894"/>
      <c r="F71" s="923">
        <f>SUM(F69:F70)</f>
        <v>872788.3672799999</v>
      </c>
      <c r="G71" s="899"/>
      <c r="H71" s="923">
        <f>SUM(H69:H70)</f>
        <v>1029233.53721</v>
      </c>
      <c r="I71" s="894"/>
      <c r="J71" s="894"/>
      <c r="K71" s="894"/>
      <c r="L71" s="894"/>
      <c r="M71" s="894"/>
      <c r="N71" s="894"/>
      <c r="O71" s="894"/>
    </row>
    <row r="72" spans="1:15" ht="17.25" thickTop="1">
      <c r="A72" s="983" t="s">
        <v>2463</v>
      </c>
      <c r="B72" s="894"/>
      <c r="C72" s="894"/>
      <c r="D72" s="894"/>
      <c r="E72" s="894"/>
      <c r="F72" s="899"/>
      <c r="G72" s="899"/>
      <c r="H72" s="899"/>
      <c r="I72" s="894"/>
      <c r="J72" s="894"/>
      <c r="K72" s="894"/>
      <c r="L72" s="894"/>
      <c r="M72" s="894"/>
      <c r="N72" s="894"/>
      <c r="O72" s="894"/>
    </row>
    <row r="73" spans="2:15" ht="15.75">
      <c r="B73" s="894"/>
      <c r="C73" s="894"/>
      <c r="D73" s="894"/>
      <c r="E73" s="894"/>
      <c r="F73" s="899"/>
      <c r="G73" s="899"/>
      <c r="H73" s="899"/>
      <c r="I73" s="894"/>
      <c r="J73" s="894"/>
      <c r="K73" s="894"/>
      <c r="L73" s="894"/>
      <c r="M73" s="894"/>
      <c r="N73" s="894"/>
      <c r="O73" s="894"/>
    </row>
    <row r="74" spans="1:11" ht="15.75">
      <c r="A74" s="877">
        <f>A67+1</f>
        <v>22</v>
      </c>
      <c r="B74" s="880" t="s">
        <v>1527</v>
      </c>
      <c r="I74" s="888"/>
      <c r="K74" s="889"/>
    </row>
    <row r="75" spans="9:11" ht="15.75">
      <c r="I75" s="888"/>
      <c r="K75" s="889"/>
    </row>
    <row r="76" spans="2:16" ht="15.75">
      <c r="B76" s="878" t="s">
        <v>110</v>
      </c>
      <c r="F76" s="802">
        <f>24144853617.66/1000</f>
        <v>24144853.61766</v>
      </c>
      <c r="H76" s="802">
        <v>20595527.979</v>
      </c>
      <c r="I76" s="888"/>
      <c r="K76" s="889"/>
      <c r="N76" s="802"/>
      <c r="O76" s="879"/>
      <c r="P76" s="802"/>
    </row>
    <row r="77" spans="2:16" ht="15.75">
      <c r="B77" s="878" t="s">
        <v>111</v>
      </c>
      <c r="F77" s="802">
        <f>1762733.33/1000</f>
        <v>1762.73333</v>
      </c>
      <c r="H77" s="802">
        <v>450</v>
      </c>
      <c r="I77" s="888"/>
      <c r="K77" s="889"/>
      <c r="N77" s="802"/>
      <c r="O77" s="879"/>
      <c r="P77" s="802"/>
    </row>
    <row r="78" spans="2:16" ht="15.75">
      <c r="B78" s="878" t="s">
        <v>112</v>
      </c>
      <c r="F78" s="802">
        <f>(76183433.66+99583667+65795000+3000000+40382000+325050000+9499000+1200000+16800000+313505917.6)/1000</f>
        <v>950999.01826</v>
      </c>
      <c r="H78" s="802">
        <v>856439.77127</v>
      </c>
      <c r="I78" s="888"/>
      <c r="K78" s="916"/>
      <c r="N78" s="802"/>
      <c r="O78" s="879"/>
      <c r="P78" s="802"/>
    </row>
    <row r="79" spans="6:10" ht="16.5" thickBot="1">
      <c r="F79" s="890">
        <f>SUM(F76:F78)</f>
        <v>25097615.36925</v>
      </c>
      <c r="G79" s="885"/>
      <c r="H79" s="890">
        <v>21492118</v>
      </c>
      <c r="I79" s="919"/>
      <c r="J79" s="892"/>
    </row>
    <row r="80" spans="1:15" ht="16.5" thickTop="1">
      <c r="A80" s="985" t="s">
        <v>2471</v>
      </c>
      <c r="B80" s="894"/>
      <c r="C80" s="894"/>
      <c r="D80" s="894"/>
      <c r="E80" s="894"/>
      <c r="F80" s="899"/>
      <c r="G80" s="899"/>
      <c r="H80" s="899"/>
      <c r="I80" s="894"/>
      <c r="J80" s="894"/>
      <c r="K80" s="894"/>
      <c r="L80" s="894"/>
      <c r="M80" s="894"/>
      <c r="N80" s="894"/>
      <c r="O80" s="894"/>
    </row>
    <row r="81" spans="6:9" ht="11.25" customHeight="1">
      <c r="F81" s="885"/>
      <c r="G81" s="885"/>
      <c r="H81" s="885"/>
      <c r="I81" s="919"/>
    </row>
    <row r="82" spans="8:9" ht="15.75">
      <c r="H82" s="895"/>
      <c r="I82" s="888"/>
    </row>
    <row r="83" spans="1:9" ht="15.75">
      <c r="A83" s="877">
        <f>A74+1</f>
        <v>23</v>
      </c>
      <c r="B83" s="880" t="s">
        <v>1528</v>
      </c>
      <c r="C83" s="880"/>
      <c r="F83" s="885"/>
      <c r="G83" s="885"/>
      <c r="H83" s="885"/>
      <c r="I83" s="919"/>
    </row>
    <row r="84" spans="3:9" ht="6" customHeight="1">
      <c r="C84" s="880"/>
      <c r="F84" s="885"/>
      <c r="G84" s="885"/>
      <c r="H84" s="885"/>
      <c r="I84" s="919"/>
    </row>
    <row r="85" spans="2:16" ht="15.75">
      <c r="B85" s="897" t="s">
        <v>125</v>
      </c>
      <c r="C85" s="880"/>
      <c r="F85" s="802">
        <f>(2773000+377000+4659500+1300000+1300000+27583000)/1000</f>
        <v>37992.5</v>
      </c>
      <c r="H85" s="802">
        <v>64318</v>
      </c>
      <c r="I85" s="919"/>
      <c r="J85" s="897"/>
      <c r="K85" s="880"/>
      <c r="N85" s="802"/>
      <c r="O85" s="879"/>
      <c r="P85" s="802"/>
    </row>
    <row r="86" spans="2:16" ht="15.75">
      <c r="B86" s="897" t="s">
        <v>126</v>
      </c>
      <c r="C86" s="897"/>
      <c r="D86" s="897"/>
      <c r="F86" s="802">
        <f>(100000+428200618+72198791.8+222817000+606636000+605484000)/1000</f>
        <v>1935436.4098</v>
      </c>
      <c r="H86" s="802">
        <v>903596.495</v>
      </c>
      <c r="I86" s="919"/>
      <c r="J86" s="926"/>
      <c r="K86" s="897"/>
      <c r="L86" s="897"/>
      <c r="N86" s="802"/>
      <c r="O86" s="879"/>
      <c r="P86" s="802"/>
    </row>
    <row r="87" spans="2:16" ht="15.75">
      <c r="B87" s="897" t="s">
        <v>2399</v>
      </c>
      <c r="C87" s="897"/>
      <c r="D87" s="897"/>
      <c r="F87" s="802">
        <f>2746856000/1000</f>
        <v>2746856</v>
      </c>
      <c r="H87" s="802">
        <v>0</v>
      </c>
      <c r="I87" s="919"/>
      <c r="J87" s="826"/>
      <c r="K87" s="826"/>
      <c r="L87" s="897"/>
      <c r="N87" s="802"/>
      <c r="O87" s="879"/>
      <c r="P87" s="802"/>
    </row>
    <row r="88" spans="2:16" ht="15.75">
      <c r="B88" s="897" t="s">
        <v>113</v>
      </c>
      <c r="C88" s="897"/>
      <c r="D88" s="897"/>
      <c r="F88" s="802">
        <f>(12188042.88+9120000+6336733.35+1285200+145962440.2+1200000+10291757.39+12476634.44+6130562.84+8356611+3340784.43+256500+163316418.64+1851000+2233000+90195100)/1000</f>
        <v>474540.78516999993</v>
      </c>
      <c r="H88" s="802">
        <v>536946.81801</v>
      </c>
      <c r="I88" s="919"/>
      <c r="J88" s="924"/>
      <c r="K88" s="925"/>
      <c r="L88" s="897"/>
      <c r="N88" s="802"/>
      <c r="O88" s="879"/>
      <c r="P88" s="802"/>
    </row>
    <row r="89" spans="2:16" ht="15.75">
      <c r="B89" s="897" t="s">
        <v>114</v>
      </c>
      <c r="C89" s="897"/>
      <c r="D89" s="897"/>
      <c r="F89" s="802">
        <f>(83721912+5788400+17007814+54069480.48+5732000+4610000+5100000+16000000+33362629+46821409+284514591.27+100000)/1000</f>
        <v>556828.23575</v>
      </c>
      <c r="H89" s="802">
        <v>745404.23003</v>
      </c>
      <c r="I89" s="919"/>
      <c r="J89" s="926"/>
      <c r="K89" s="926"/>
      <c r="L89" s="897"/>
      <c r="N89" s="802"/>
      <c r="O89" s="879"/>
      <c r="P89" s="802"/>
    </row>
    <row r="90" spans="2:16" ht="15.75">
      <c r="B90" s="897" t="s">
        <v>115</v>
      </c>
      <c r="C90" s="897"/>
      <c r="D90" s="897"/>
      <c r="F90" s="802">
        <f>(2643000+200000)/1000</f>
        <v>2843</v>
      </c>
      <c r="H90" s="802">
        <v>2460</v>
      </c>
      <c r="I90" s="919"/>
      <c r="J90" s="926"/>
      <c r="K90" s="924"/>
      <c r="L90" s="897"/>
      <c r="N90" s="802"/>
      <c r="O90" s="879"/>
      <c r="P90" s="802"/>
    </row>
    <row r="91" spans="2:16" ht="15.75">
      <c r="B91" s="897" t="s">
        <v>116</v>
      </c>
      <c r="C91" s="897"/>
      <c r="D91" s="897"/>
      <c r="F91" s="802">
        <f>(8287000+568000)/1000</f>
        <v>8855</v>
      </c>
      <c r="H91" s="802">
        <v>29547.6</v>
      </c>
      <c r="I91" s="919"/>
      <c r="J91" s="897"/>
      <c r="K91" s="925"/>
      <c r="L91" s="897"/>
      <c r="N91" s="802"/>
      <c r="O91" s="879"/>
      <c r="P91" s="802"/>
    </row>
    <row r="92" spans="2:16" ht="15.75">
      <c r="B92" s="897" t="s">
        <v>117</v>
      </c>
      <c r="C92" s="897"/>
      <c r="D92" s="897"/>
      <c r="F92" s="802">
        <f>(39494348+50000+14155440+317000)/1000</f>
        <v>54016.788</v>
      </c>
      <c r="H92" s="802">
        <v>20252.54</v>
      </c>
      <c r="I92" s="919"/>
      <c r="J92" s="897"/>
      <c r="K92" s="897"/>
      <c r="L92" s="897"/>
      <c r="N92" s="802"/>
      <c r="O92" s="879"/>
      <c r="P92" s="802"/>
    </row>
    <row r="93" spans="2:16" ht="15.75">
      <c r="B93" s="897" t="s">
        <v>118</v>
      </c>
      <c r="C93" s="897"/>
      <c r="D93" s="897"/>
      <c r="F93" s="802">
        <f>(15156367.29+4332312.75)/1000</f>
        <v>19488.68004</v>
      </c>
      <c r="H93" s="802">
        <v>25705.7214</v>
      </c>
      <c r="I93" s="919"/>
      <c r="J93" s="897"/>
      <c r="K93" s="897"/>
      <c r="L93" s="897"/>
      <c r="N93" s="802"/>
      <c r="O93" s="879"/>
      <c r="P93" s="802"/>
    </row>
    <row r="94" spans="2:16" ht="15.75">
      <c r="B94" s="878" t="s">
        <v>119</v>
      </c>
      <c r="C94" s="897"/>
      <c r="D94" s="897"/>
      <c r="F94" s="802">
        <f>(18684500+3040000+200000+8162900+500000+131571000)/1000</f>
        <v>162158.4</v>
      </c>
      <c r="H94" s="802">
        <v>144278.08632</v>
      </c>
      <c r="I94" s="919"/>
      <c r="K94" s="897"/>
      <c r="L94" s="897"/>
      <c r="N94" s="802"/>
      <c r="O94" s="879"/>
      <c r="P94" s="802"/>
    </row>
    <row r="95" spans="3:10" ht="16.5" thickBot="1">
      <c r="C95" s="880"/>
      <c r="F95" s="890">
        <f>SUM(F85:F94)</f>
        <v>5999015.798760001</v>
      </c>
      <c r="G95" s="885"/>
      <c r="H95" s="890">
        <v>2291542</v>
      </c>
      <c r="I95" s="919"/>
      <c r="J95" s="892"/>
    </row>
    <row r="96" spans="1:15" ht="17.25" thickTop="1">
      <c r="A96" s="983" t="s">
        <v>2472</v>
      </c>
      <c r="B96" s="894"/>
      <c r="C96" s="894"/>
      <c r="D96" s="894"/>
      <c r="E96" s="894"/>
      <c r="F96" s="899"/>
      <c r="G96" s="899"/>
      <c r="H96" s="899"/>
      <c r="I96" s="894"/>
      <c r="J96" s="894"/>
      <c r="K96" s="894"/>
      <c r="L96" s="894"/>
      <c r="M96" s="894"/>
      <c r="N96" s="894"/>
      <c r="O96" s="894"/>
    </row>
    <row r="97" spans="3:10" ht="15.75">
      <c r="C97" s="880"/>
      <c r="F97" s="885"/>
      <c r="G97" s="885"/>
      <c r="H97" s="885"/>
      <c r="I97" s="919"/>
      <c r="J97" s="892"/>
    </row>
    <row r="98" spans="1:9" ht="15.75">
      <c r="A98" s="877">
        <f>A83+1</f>
        <v>24</v>
      </c>
      <c r="B98" s="880" t="s">
        <v>121</v>
      </c>
      <c r="C98" s="880"/>
      <c r="F98" s="885"/>
      <c r="G98" s="885"/>
      <c r="H98" s="885"/>
      <c r="I98" s="919"/>
    </row>
    <row r="99" spans="3:9" ht="15.75">
      <c r="C99" s="880"/>
      <c r="F99" s="885"/>
      <c r="G99" s="885"/>
      <c r="H99" s="885"/>
      <c r="I99" s="919"/>
    </row>
    <row r="100" spans="2:16" ht="15.75">
      <c r="B100" s="878" t="s">
        <v>122</v>
      </c>
      <c r="C100" s="880"/>
      <c r="F100" s="802">
        <f>(7727500+11636200+5305076+174934338.38+53322000+800000+10634855.08+585223+573300+2884770.26+436393880.99+4800000+61869700+6051830.96+72957947.5)/1000+439693</f>
        <v>1290169.62217</v>
      </c>
      <c r="H100" s="802">
        <v>2037034.86469</v>
      </c>
      <c r="I100" s="919"/>
      <c r="J100" s="889"/>
      <c r="K100" s="927"/>
      <c r="N100" s="802"/>
      <c r="O100" s="879"/>
      <c r="P100" s="802"/>
    </row>
    <row r="101" spans="2:16" ht="15.75">
      <c r="B101" s="878" t="s">
        <v>127</v>
      </c>
      <c r="C101" s="880"/>
      <c r="H101" s="802">
        <v>0</v>
      </c>
      <c r="I101" s="919"/>
      <c r="J101" s="892"/>
      <c r="K101" s="880"/>
      <c r="N101" s="802"/>
      <c r="O101" s="879"/>
      <c r="P101" s="802"/>
    </row>
    <row r="102" spans="2:16" ht="15.75">
      <c r="B102" s="878" t="s">
        <v>123</v>
      </c>
      <c r="C102" s="880"/>
      <c r="F102" s="802">
        <f>(491000+5930000+177530+142800+2360000+1500000+78343591.92)/1000</f>
        <v>88944.92192000001</v>
      </c>
      <c r="H102" s="802">
        <v>79347.63541</v>
      </c>
      <c r="I102" s="919"/>
      <c r="K102" s="880"/>
      <c r="N102" s="802"/>
      <c r="O102" s="879"/>
      <c r="P102" s="802"/>
    </row>
    <row r="103" spans="2:16" ht="15.75">
      <c r="B103" s="878" t="s">
        <v>124</v>
      </c>
      <c r="C103" s="880"/>
      <c r="F103" s="802">
        <f>(78130149.5+990501.55)/1000</f>
        <v>79120.65105</v>
      </c>
      <c r="H103" s="802">
        <v>185815.33555</v>
      </c>
      <c r="I103" s="919"/>
      <c r="K103" s="880"/>
      <c r="N103" s="802"/>
      <c r="O103" s="879"/>
      <c r="P103" s="802"/>
    </row>
    <row r="104" spans="3:11" ht="16.5" thickBot="1">
      <c r="C104" s="880"/>
      <c r="F104" s="890">
        <f>SUM(F100:F103)</f>
        <v>1458235.1951400002</v>
      </c>
      <c r="G104" s="885"/>
      <c r="H104" s="890">
        <v>2284809</v>
      </c>
      <c r="I104" s="919"/>
      <c r="J104" s="892"/>
      <c r="K104" s="892"/>
    </row>
    <row r="105" spans="3:9" ht="16.5" thickTop="1">
      <c r="C105" s="880"/>
      <c r="F105" s="885"/>
      <c r="G105" s="885"/>
      <c r="H105" s="885"/>
      <c r="I105" s="919"/>
    </row>
    <row r="106" spans="1:9" ht="16.5">
      <c r="A106" s="983" t="s">
        <v>2473</v>
      </c>
      <c r="C106" s="880"/>
      <c r="F106" s="885"/>
      <c r="G106" s="885"/>
      <c r="H106" s="885"/>
      <c r="I106" s="919"/>
    </row>
    <row r="107" spans="3:9" ht="15.75">
      <c r="C107" s="880"/>
      <c r="F107" s="885"/>
      <c r="G107" s="885"/>
      <c r="H107" s="885"/>
      <c r="I107" s="919"/>
    </row>
    <row r="108" spans="2:9" ht="15.75">
      <c r="B108" s="880"/>
      <c r="C108" s="880"/>
      <c r="F108" s="885"/>
      <c r="G108" s="885"/>
      <c r="H108" s="885"/>
      <c r="I108" s="919"/>
    </row>
    <row r="109" spans="3:9" ht="15.75">
      <c r="C109" s="880"/>
      <c r="F109" s="885"/>
      <c r="G109" s="885"/>
      <c r="H109" s="885"/>
      <c r="I109" s="919"/>
    </row>
    <row r="110" spans="3:9" ht="15.75">
      <c r="C110" s="880"/>
      <c r="F110" s="879"/>
      <c r="G110" s="885"/>
      <c r="H110" s="879"/>
      <c r="I110" s="919"/>
    </row>
    <row r="111" spans="3:9" ht="15.75">
      <c r="C111" s="880"/>
      <c r="F111" s="879"/>
      <c r="G111" s="885"/>
      <c r="H111" s="879"/>
      <c r="I111" s="919"/>
    </row>
    <row r="112" spans="3:9" ht="16.5">
      <c r="C112" s="880"/>
      <c r="F112" s="928"/>
      <c r="G112" s="885"/>
      <c r="H112" s="879"/>
      <c r="I112" s="919"/>
    </row>
    <row r="113" spans="3:9" ht="15.75">
      <c r="C113" s="880"/>
      <c r="F113" s="885"/>
      <c r="G113" s="885"/>
      <c r="H113" s="885"/>
      <c r="I113" s="919"/>
    </row>
    <row r="114" spans="3:9" ht="15.75">
      <c r="C114" s="880"/>
      <c r="F114" s="885"/>
      <c r="G114" s="885"/>
      <c r="H114" s="885"/>
      <c r="I114" s="919"/>
    </row>
    <row r="115" spans="3:9" ht="15.75">
      <c r="C115" s="880"/>
      <c r="F115" s="885"/>
      <c r="G115" s="885"/>
      <c r="H115" s="885"/>
      <c r="I115" s="919"/>
    </row>
    <row r="116" spans="3:9" ht="15.75">
      <c r="C116" s="880"/>
      <c r="F116" s="885"/>
      <c r="G116" s="885"/>
      <c r="H116" s="885"/>
      <c r="I116" s="919"/>
    </row>
    <row r="117" spans="3:9" ht="15.75">
      <c r="C117" s="880"/>
      <c r="F117" s="885"/>
      <c r="G117" s="885"/>
      <c r="H117" s="885"/>
      <c r="I117" s="919"/>
    </row>
    <row r="118" spans="3:9" ht="15.75">
      <c r="C118" s="880"/>
      <c r="F118" s="885"/>
      <c r="G118" s="885"/>
      <c r="H118" s="885"/>
      <c r="I118" s="919"/>
    </row>
    <row r="119" spans="3:9" ht="15.75">
      <c r="C119" s="880"/>
      <c r="F119" s="885"/>
      <c r="G119" s="885"/>
      <c r="H119" s="885"/>
      <c r="I119" s="919"/>
    </row>
    <row r="120" spans="3:9" ht="15.75">
      <c r="C120" s="880"/>
      <c r="F120" s="885"/>
      <c r="G120" s="885"/>
      <c r="H120" s="885"/>
      <c r="I120" s="919"/>
    </row>
    <row r="121" spans="3:9" ht="15.75">
      <c r="C121" s="880"/>
      <c r="F121" s="885"/>
      <c r="G121" s="885"/>
      <c r="H121" s="885"/>
      <c r="I121" s="919"/>
    </row>
    <row r="122" spans="3:9" ht="15.75">
      <c r="C122" s="880"/>
      <c r="F122" s="885"/>
      <c r="G122" s="885"/>
      <c r="H122" s="885"/>
      <c r="I122" s="919"/>
    </row>
    <row r="123" spans="3:9" ht="15.75">
      <c r="C123" s="880"/>
      <c r="F123" s="885"/>
      <c r="G123" s="885"/>
      <c r="H123" s="885"/>
      <c r="I123" s="919"/>
    </row>
    <row r="124" spans="3:9" ht="15.75">
      <c r="C124" s="880"/>
      <c r="F124" s="885"/>
      <c r="G124" s="885"/>
      <c r="H124" s="885"/>
      <c r="I124" s="919"/>
    </row>
    <row r="125" spans="3:9" ht="15.75">
      <c r="C125" s="880"/>
      <c r="F125" s="885"/>
      <c r="G125" s="885"/>
      <c r="H125" s="885"/>
      <c r="I125" s="919"/>
    </row>
    <row r="126" spans="3:9" ht="15.75">
      <c r="C126" s="880"/>
      <c r="F126" s="885"/>
      <c r="G126" s="885"/>
      <c r="H126" s="885"/>
      <c r="I126" s="919"/>
    </row>
    <row r="127" spans="3:9" ht="15.75">
      <c r="C127" s="880"/>
      <c r="F127" s="885"/>
      <c r="G127" s="885"/>
      <c r="H127" s="885"/>
      <c r="I127" s="919"/>
    </row>
    <row r="128" spans="3:9" ht="15.75">
      <c r="C128" s="880"/>
      <c r="F128" s="885"/>
      <c r="G128" s="885"/>
      <c r="H128" s="885"/>
      <c r="I128" s="919"/>
    </row>
    <row r="129" spans="3:9" ht="15.75">
      <c r="C129" s="880"/>
      <c r="F129" s="885"/>
      <c r="G129" s="885"/>
      <c r="H129" s="885"/>
      <c r="I129" s="919"/>
    </row>
    <row r="130" spans="3:9" ht="15.75">
      <c r="C130" s="880"/>
      <c r="F130" s="885"/>
      <c r="G130" s="885"/>
      <c r="H130" s="885"/>
      <c r="I130" s="919"/>
    </row>
    <row r="131" spans="3:9" ht="15.75">
      <c r="C131" s="880"/>
      <c r="F131" s="885"/>
      <c r="G131" s="885"/>
      <c r="H131" s="885"/>
      <c r="I131" s="919"/>
    </row>
    <row r="132" spans="3:9" ht="15.75">
      <c r="C132" s="880"/>
      <c r="F132" s="885"/>
      <c r="G132" s="885"/>
      <c r="H132" s="885"/>
      <c r="I132" s="919"/>
    </row>
    <row r="133" spans="3:9" ht="15.75">
      <c r="C133" s="880"/>
      <c r="F133" s="885"/>
      <c r="G133" s="885"/>
      <c r="H133" s="885"/>
      <c r="I133" s="919"/>
    </row>
    <row r="134" spans="3:9" ht="15.75">
      <c r="C134" s="880"/>
      <c r="F134" s="885"/>
      <c r="G134" s="885"/>
      <c r="H134" s="885"/>
      <c r="I134" s="919"/>
    </row>
    <row r="135" spans="3:9" ht="15.75">
      <c r="C135" s="880"/>
      <c r="F135" s="885"/>
      <c r="G135" s="885"/>
      <c r="H135" s="885"/>
      <c r="I135" s="919"/>
    </row>
    <row r="136" spans="3:9" ht="15.75">
      <c r="C136" s="880"/>
      <c r="F136" s="885"/>
      <c r="G136" s="885"/>
      <c r="H136" s="885"/>
      <c r="I136" s="919"/>
    </row>
    <row r="137" spans="3:9" ht="15.75">
      <c r="C137" s="880"/>
      <c r="F137" s="885"/>
      <c r="G137" s="885"/>
      <c r="H137" s="885"/>
      <c r="I137" s="919"/>
    </row>
    <row r="138" spans="3:9" ht="15.75">
      <c r="C138" s="880"/>
      <c r="F138" s="885"/>
      <c r="G138" s="885"/>
      <c r="H138" s="885"/>
      <c r="I138" s="919"/>
    </row>
    <row r="139" spans="3:9" ht="15.75">
      <c r="C139" s="880"/>
      <c r="F139" s="885"/>
      <c r="G139" s="885"/>
      <c r="H139" s="885"/>
      <c r="I139" s="919"/>
    </row>
    <row r="140" spans="3:9" ht="15.75">
      <c r="C140" s="880"/>
      <c r="F140" s="885"/>
      <c r="G140" s="885"/>
      <c r="H140" s="885"/>
      <c r="I140" s="919"/>
    </row>
    <row r="141" spans="3:9" ht="15.75">
      <c r="C141" s="880"/>
      <c r="F141" s="885"/>
      <c r="G141" s="885"/>
      <c r="H141" s="885"/>
      <c r="I141" s="919"/>
    </row>
    <row r="142" spans="3:9" ht="15.75">
      <c r="C142" s="880"/>
      <c r="F142" s="885"/>
      <c r="G142" s="885"/>
      <c r="H142" s="885"/>
      <c r="I142" s="919"/>
    </row>
    <row r="143" spans="3:9" ht="15.75">
      <c r="C143" s="880"/>
      <c r="F143" s="885"/>
      <c r="G143" s="885"/>
      <c r="H143" s="885"/>
      <c r="I143" s="919"/>
    </row>
    <row r="144" spans="3:9" ht="15.75">
      <c r="C144" s="880"/>
      <c r="F144" s="885"/>
      <c r="G144" s="885"/>
      <c r="H144" s="885"/>
      <c r="I144" s="919"/>
    </row>
    <row r="145" spans="3:9" ht="15.75">
      <c r="C145" s="880"/>
      <c r="F145" s="885"/>
      <c r="G145" s="885"/>
      <c r="H145" s="885"/>
      <c r="I145" s="919"/>
    </row>
    <row r="146" spans="3:9" ht="15.75">
      <c r="C146" s="880"/>
      <c r="F146" s="885"/>
      <c r="G146" s="885"/>
      <c r="H146" s="885"/>
      <c r="I146" s="919"/>
    </row>
    <row r="147" spans="3:9" ht="15.75">
      <c r="C147" s="880"/>
      <c r="F147" s="885"/>
      <c r="G147" s="885"/>
      <c r="H147" s="885"/>
      <c r="I147" s="919"/>
    </row>
    <row r="148" spans="3:9" ht="15.75">
      <c r="C148" s="880"/>
      <c r="F148" s="885"/>
      <c r="G148" s="885"/>
      <c r="H148" s="885"/>
      <c r="I148" s="919"/>
    </row>
    <row r="149" spans="3:9" ht="15.75">
      <c r="C149" s="880"/>
      <c r="F149" s="885"/>
      <c r="G149" s="885"/>
      <c r="H149" s="885"/>
      <c r="I149" s="919"/>
    </row>
    <row r="150" spans="3:9" ht="15.75">
      <c r="C150" s="880"/>
      <c r="F150" s="885"/>
      <c r="G150" s="885"/>
      <c r="H150" s="885"/>
      <c r="I150" s="919"/>
    </row>
    <row r="151" spans="3:9" ht="15.75">
      <c r="C151" s="880"/>
      <c r="F151" s="885"/>
      <c r="G151" s="885"/>
      <c r="H151" s="885"/>
      <c r="I151" s="919"/>
    </row>
    <row r="152" spans="3:9" ht="15.75">
      <c r="C152" s="880"/>
      <c r="F152" s="885"/>
      <c r="G152" s="885"/>
      <c r="H152" s="885"/>
      <c r="I152" s="919"/>
    </row>
    <row r="153" spans="3:9" ht="15.75">
      <c r="C153" s="880"/>
      <c r="F153" s="885"/>
      <c r="G153" s="885"/>
      <c r="H153" s="885"/>
      <c r="I153" s="919"/>
    </row>
    <row r="154" spans="3:9" ht="15.75">
      <c r="C154" s="880"/>
      <c r="F154" s="885"/>
      <c r="G154" s="885"/>
      <c r="H154" s="885"/>
      <c r="I154" s="919"/>
    </row>
    <row r="155" spans="3:9" ht="15.75">
      <c r="C155" s="880"/>
      <c r="F155" s="885"/>
      <c r="G155" s="885"/>
      <c r="H155" s="885"/>
      <c r="I155" s="919"/>
    </row>
    <row r="156" spans="3:9" ht="15.75">
      <c r="C156" s="880"/>
      <c r="F156" s="885"/>
      <c r="G156" s="885"/>
      <c r="H156" s="885"/>
      <c r="I156" s="919"/>
    </row>
    <row r="157" spans="3:9" ht="15.75">
      <c r="C157" s="880"/>
      <c r="F157" s="885"/>
      <c r="G157" s="885"/>
      <c r="H157" s="885"/>
      <c r="I157" s="919"/>
    </row>
    <row r="158" spans="3:9" ht="15.75">
      <c r="C158" s="880"/>
      <c r="F158" s="885"/>
      <c r="G158" s="885"/>
      <c r="H158" s="885"/>
      <c r="I158" s="919"/>
    </row>
    <row r="159" spans="3:9" ht="15.75">
      <c r="C159" s="880"/>
      <c r="F159" s="885"/>
      <c r="G159" s="885"/>
      <c r="H159" s="885"/>
      <c r="I159" s="919"/>
    </row>
    <row r="160" spans="3:9" ht="15.75">
      <c r="C160" s="880"/>
      <c r="F160" s="885"/>
      <c r="G160" s="885"/>
      <c r="H160" s="885"/>
      <c r="I160" s="919"/>
    </row>
    <row r="161" spans="3:9" ht="15.75">
      <c r="C161" s="880"/>
      <c r="F161" s="885"/>
      <c r="G161" s="885"/>
      <c r="H161" s="885"/>
      <c r="I161" s="919"/>
    </row>
    <row r="162" spans="3:9" ht="15.75">
      <c r="C162" s="880"/>
      <c r="F162" s="885"/>
      <c r="G162" s="885"/>
      <c r="H162" s="885"/>
      <c r="I162" s="919"/>
    </row>
    <row r="163" spans="3:9" ht="15.75">
      <c r="C163" s="880"/>
      <c r="F163" s="885"/>
      <c r="G163" s="885"/>
      <c r="H163" s="885"/>
      <c r="I163" s="919"/>
    </row>
    <row r="164" spans="3:9" ht="15.75">
      <c r="C164" s="880"/>
      <c r="F164" s="885"/>
      <c r="G164" s="885"/>
      <c r="H164" s="885"/>
      <c r="I164" s="919"/>
    </row>
    <row r="165" spans="3:9" ht="15.75">
      <c r="C165" s="880"/>
      <c r="F165" s="885"/>
      <c r="G165" s="885"/>
      <c r="H165" s="885"/>
      <c r="I165" s="919"/>
    </row>
    <row r="166" spans="3:9" ht="15.75">
      <c r="C166" s="880"/>
      <c r="F166" s="885"/>
      <c r="G166" s="885"/>
      <c r="H166" s="885"/>
      <c r="I166" s="919"/>
    </row>
    <row r="167" spans="3:9" ht="15.75">
      <c r="C167" s="880"/>
      <c r="F167" s="885"/>
      <c r="G167" s="885"/>
      <c r="H167" s="885"/>
      <c r="I167" s="919"/>
    </row>
    <row r="168" spans="3:9" ht="15.75">
      <c r="C168" s="880"/>
      <c r="F168" s="885"/>
      <c r="G168" s="885"/>
      <c r="H168" s="885"/>
      <c r="I168" s="919"/>
    </row>
    <row r="169" spans="3:9" ht="15.75">
      <c r="C169" s="880"/>
      <c r="F169" s="885"/>
      <c r="G169" s="885"/>
      <c r="H169" s="885"/>
      <c r="I169" s="919"/>
    </row>
    <row r="170" spans="3:9" ht="15.75">
      <c r="C170" s="880"/>
      <c r="F170" s="885"/>
      <c r="G170" s="885"/>
      <c r="H170" s="885"/>
      <c r="I170" s="919"/>
    </row>
    <row r="171" spans="3:9" ht="15.75">
      <c r="C171" s="880"/>
      <c r="F171" s="885"/>
      <c r="G171" s="885"/>
      <c r="H171" s="885"/>
      <c r="I171" s="919"/>
    </row>
    <row r="172" spans="3:9" ht="15.75">
      <c r="C172" s="880"/>
      <c r="F172" s="885"/>
      <c r="G172" s="885"/>
      <c r="H172" s="885"/>
      <c r="I172" s="919"/>
    </row>
    <row r="173" spans="3:9" ht="15.75">
      <c r="C173" s="880"/>
      <c r="F173" s="885"/>
      <c r="G173" s="885"/>
      <c r="H173" s="885"/>
      <c r="I173" s="919"/>
    </row>
    <row r="174" spans="3:9" ht="15.75">
      <c r="C174" s="880"/>
      <c r="F174" s="885"/>
      <c r="G174" s="885"/>
      <c r="H174" s="885"/>
      <c r="I174" s="919"/>
    </row>
    <row r="175" spans="3:9" ht="15.75">
      <c r="C175" s="880"/>
      <c r="F175" s="885"/>
      <c r="G175" s="885"/>
      <c r="H175" s="885"/>
      <c r="I175" s="919"/>
    </row>
    <row r="176" spans="3:9" ht="15.75">
      <c r="C176" s="880"/>
      <c r="F176" s="885"/>
      <c r="G176" s="885"/>
      <c r="H176" s="885"/>
      <c r="I176" s="919"/>
    </row>
    <row r="177" spans="3:9" ht="15.75">
      <c r="C177" s="880"/>
      <c r="F177" s="885"/>
      <c r="G177" s="885"/>
      <c r="H177" s="885"/>
      <c r="I177" s="919"/>
    </row>
    <row r="178" spans="3:9" ht="15.75">
      <c r="C178" s="880"/>
      <c r="F178" s="885"/>
      <c r="G178" s="885"/>
      <c r="H178" s="885"/>
      <c r="I178" s="919"/>
    </row>
    <row r="179" spans="3:9" ht="15.75">
      <c r="C179" s="880"/>
      <c r="F179" s="885"/>
      <c r="G179" s="885"/>
      <c r="H179" s="885"/>
      <c r="I179" s="919"/>
    </row>
    <row r="180" spans="3:9" ht="15.75">
      <c r="C180" s="880"/>
      <c r="F180" s="885"/>
      <c r="G180" s="885"/>
      <c r="H180" s="885"/>
      <c r="I180" s="919"/>
    </row>
    <row r="181" spans="3:9" ht="15.75">
      <c r="C181" s="880"/>
      <c r="F181" s="885"/>
      <c r="G181" s="885"/>
      <c r="H181" s="885"/>
      <c r="I181" s="919"/>
    </row>
    <row r="182" spans="3:9" ht="15.75">
      <c r="C182" s="880"/>
      <c r="F182" s="885"/>
      <c r="G182" s="885"/>
      <c r="H182" s="885"/>
      <c r="I182" s="919"/>
    </row>
    <row r="183" spans="3:9" ht="15.75">
      <c r="C183" s="880"/>
      <c r="F183" s="885"/>
      <c r="G183" s="885"/>
      <c r="H183" s="885"/>
      <c r="I183" s="919"/>
    </row>
    <row r="184" spans="3:9" ht="15.75">
      <c r="C184" s="880"/>
      <c r="F184" s="885"/>
      <c r="G184" s="885"/>
      <c r="H184" s="885"/>
      <c r="I184" s="919"/>
    </row>
    <row r="185" spans="3:9" ht="15.75">
      <c r="C185" s="880"/>
      <c r="F185" s="885"/>
      <c r="G185" s="885"/>
      <c r="H185" s="885"/>
      <c r="I185" s="919"/>
    </row>
    <row r="186" spans="3:9" ht="15.75">
      <c r="C186" s="880"/>
      <c r="F186" s="885"/>
      <c r="G186" s="885"/>
      <c r="H186" s="885"/>
      <c r="I186" s="919"/>
    </row>
    <row r="187" spans="3:9" ht="15.75">
      <c r="C187" s="880"/>
      <c r="F187" s="885"/>
      <c r="G187" s="885"/>
      <c r="H187" s="885"/>
      <c r="I187" s="919"/>
    </row>
    <row r="188" spans="3:9" ht="15.75">
      <c r="C188" s="880"/>
      <c r="F188" s="885"/>
      <c r="G188" s="885"/>
      <c r="H188" s="885"/>
      <c r="I188" s="919"/>
    </row>
    <row r="189" spans="3:9" ht="15.75">
      <c r="C189" s="880"/>
      <c r="F189" s="885"/>
      <c r="G189" s="885"/>
      <c r="H189" s="885"/>
      <c r="I189" s="919"/>
    </row>
    <row r="190" spans="3:9" ht="15.75">
      <c r="C190" s="880"/>
      <c r="F190" s="885"/>
      <c r="G190" s="885"/>
      <c r="H190" s="885"/>
      <c r="I190" s="919"/>
    </row>
    <row r="191" spans="3:9" ht="15.75">
      <c r="C191" s="880"/>
      <c r="F191" s="885"/>
      <c r="G191" s="885"/>
      <c r="H191" s="885"/>
      <c r="I191" s="919"/>
    </row>
    <row r="192" spans="3:9" ht="15.75">
      <c r="C192" s="880"/>
      <c r="F192" s="885"/>
      <c r="G192" s="885"/>
      <c r="H192" s="885"/>
      <c r="I192" s="919"/>
    </row>
    <row r="193" spans="3:9" ht="15.75">
      <c r="C193" s="880"/>
      <c r="F193" s="885"/>
      <c r="G193" s="885"/>
      <c r="H193" s="885"/>
      <c r="I193" s="919"/>
    </row>
    <row r="194" spans="3:9" ht="15.75">
      <c r="C194" s="880"/>
      <c r="F194" s="885"/>
      <c r="G194" s="885"/>
      <c r="H194" s="885"/>
      <c r="I194" s="919"/>
    </row>
    <row r="195" spans="3:9" ht="15.75">
      <c r="C195" s="880"/>
      <c r="F195" s="885"/>
      <c r="G195" s="885"/>
      <c r="H195" s="885"/>
      <c r="I195" s="919"/>
    </row>
    <row r="196" spans="3:9" ht="15.75">
      <c r="C196" s="880"/>
      <c r="F196" s="885"/>
      <c r="G196" s="885"/>
      <c r="H196" s="885"/>
      <c r="I196" s="919"/>
    </row>
    <row r="197" spans="3:9" ht="15.75">
      <c r="C197" s="880"/>
      <c r="F197" s="885"/>
      <c r="G197" s="885"/>
      <c r="H197" s="885"/>
      <c r="I197" s="919"/>
    </row>
    <row r="198" spans="3:9" ht="15.75">
      <c r="C198" s="880"/>
      <c r="F198" s="885"/>
      <c r="G198" s="885"/>
      <c r="H198" s="885"/>
      <c r="I198" s="919"/>
    </row>
    <row r="199" spans="3:9" ht="15.75">
      <c r="C199" s="880"/>
      <c r="F199" s="885"/>
      <c r="G199" s="885"/>
      <c r="H199" s="885"/>
      <c r="I199" s="919"/>
    </row>
    <row r="200" spans="3:9" ht="15.75">
      <c r="C200" s="880"/>
      <c r="F200" s="885"/>
      <c r="G200" s="885"/>
      <c r="H200" s="885"/>
      <c r="I200" s="919"/>
    </row>
    <row r="201" spans="3:9" ht="15.75">
      <c r="C201" s="880"/>
      <c r="F201" s="885"/>
      <c r="G201" s="885"/>
      <c r="H201" s="885"/>
      <c r="I201" s="919"/>
    </row>
    <row r="202" spans="3:9" ht="15.75">
      <c r="C202" s="880"/>
      <c r="F202" s="885"/>
      <c r="G202" s="885"/>
      <c r="H202" s="885"/>
      <c r="I202" s="919"/>
    </row>
    <row r="203" spans="3:9" ht="15.75">
      <c r="C203" s="880"/>
      <c r="F203" s="885"/>
      <c r="G203" s="885"/>
      <c r="H203" s="885"/>
      <c r="I203" s="919"/>
    </row>
    <row r="204" spans="3:9" ht="15.75">
      <c r="C204" s="880"/>
      <c r="F204" s="885"/>
      <c r="G204" s="885"/>
      <c r="H204" s="885"/>
      <c r="I204" s="919"/>
    </row>
    <row r="205" spans="3:9" ht="15.75">
      <c r="C205" s="880"/>
      <c r="F205" s="885"/>
      <c r="G205" s="885"/>
      <c r="H205" s="885"/>
      <c r="I205" s="919"/>
    </row>
    <row r="206" spans="3:9" ht="15.75">
      <c r="C206" s="880"/>
      <c r="F206" s="885"/>
      <c r="G206" s="885"/>
      <c r="H206" s="885"/>
      <c r="I206" s="919"/>
    </row>
    <row r="207" spans="3:9" ht="15.75">
      <c r="C207" s="880"/>
      <c r="F207" s="885"/>
      <c r="G207" s="885"/>
      <c r="H207" s="885"/>
      <c r="I207" s="919"/>
    </row>
    <row r="208" spans="3:9" ht="15.75">
      <c r="C208" s="880"/>
      <c r="F208" s="885"/>
      <c r="G208" s="885"/>
      <c r="H208" s="885"/>
      <c r="I208" s="919"/>
    </row>
    <row r="209" spans="3:9" ht="15.75">
      <c r="C209" s="880"/>
      <c r="F209" s="885"/>
      <c r="G209" s="885"/>
      <c r="H209" s="885"/>
      <c r="I209" s="919"/>
    </row>
    <row r="210" spans="3:9" ht="15.75">
      <c r="C210" s="880"/>
      <c r="F210" s="885"/>
      <c r="G210" s="885"/>
      <c r="H210" s="885"/>
      <c r="I210" s="919"/>
    </row>
    <row r="211" spans="3:9" ht="15.75">
      <c r="C211" s="880"/>
      <c r="F211" s="885"/>
      <c r="G211" s="885"/>
      <c r="H211" s="885"/>
      <c r="I211" s="919"/>
    </row>
    <row r="212" spans="3:9" ht="15.75">
      <c r="C212" s="880"/>
      <c r="F212" s="885"/>
      <c r="G212" s="885"/>
      <c r="H212" s="885"/>
      <c r="I212" s="919"/>
    </row>
    <row r="213" spans="3:9" ht="15.75">
      <c r="C213" s="880"/>
      <c r="F213" s="885"/>
      <c r="G213" s="885"/>
      <c r="H213" s="885"/>
      <c r="I213" s="919"/>
    </row>
    <row r="214" spans="3:9" ht="15.75">
      <c r="C214" s="880"/>
      <c r="F214" s="885"/>
      <c r="G214" s="885"/>
      <c r="H214" s="885"/>
      <c r="I214" s="919"/>
    </row>
    <row r="215" spans="3:9" ht="15.75">
      <c r="C215" s="880"/>
      <c r="F215" s="885"/>
      <c r="G215" s="885"/>
      <c r="H215" s="885"/>
      <c r="I215" s="919"/>
    </row>
    <row r="216" spans="3:9" ht="15.75">
      <c r="C216" s="880"/>
      <c r="F216" s="885"/>
      <c r="G216" s="885"/>
      <c r="H216" s="885"/>
      <c r="I216" s="919"/>
    </row>
    <row r="217" spans="3:9" ht="15.75">
      <c r="C217" s="880"/>
      <c r="F217" s="885"/>
      <c r="G217" s="885"/>
      <c r="H217" s="885"/>
      <c r="I217" s="919"/>
    </row>
    <row r="218" spans="3:9" ht="15.75">
      <c r="C218" s="880"/>
      <c r="F218" s="885"/>
      <c r="G218" s="885"/>
      <c r="H218" s="885"/>
      <c r="I218" s="919"/>
    </row>
    <row r="219" spans="3:9" ht="15.75">
      <c r="C219" s="880"/>
      <c r="F219" s="885"/>
      <c r="G219" s="885"/>
      <c r="H219" s="885"/>
      <c r="I219" s="919"/>
    </row>
    <row r="220" spans="3:9" ht="15.75">
      <c r="C220" s="880"/>
      <c r="F220" s="885"/>
      <c r="G220" s="885"/>
      <c r="H220" s="885"/>
      <c r="I220" s="919"/>
    </row>
    <row r="221" spans="3:9" ht="15.75">
      <c r="C221" s="880"/>
      <c r="F221" s="885"/>
      <c r="G221" s="885"/>
      <c r="H221" s="885"/>
      <c r="I221" s="919"/>
    </row>
    <row r="222" spans="3:9" ht="15.75">
      <c r="C222" s="880"/>
      <c r="F222" s="885"/>
      <c r="G222" s="885"/>
      <c r="H222" s="885"/>
      <c r="I222" s="919"/>
    </row>
    <row r="223" spans="3:9" ht="15.75">
      <c r="C223" s="880"/>
      <c r="F223" s="885"/>
      <c r="G223" s="885"/>
      <c r="H223" s="885"/>
      <c r="I223" s="919"/>
    </row>
    <row r="224" spans="3:9" ht="15.75">
      <c r="C224" s="880"/>
      <c r="F224" s="885"/>
      <c r="G224" s="885"/>
      <c r="H224" s="885"/>
      <c r="I224" s="919"/>
    </row>
    <row r="225" spans="1:9" ht="15.75">
      <c r="A225" s="877">
        <f>ExpAnaly2!A8+1</f>
        <v>27</v>
      </c>
      <c r="B225" s="880" t="s">
        <v>1197</v>
      </c>
      <c r="C225" s="880"/>
      <c r="I225" s="929"/>
    </row>
    <row r="226" ht="15.75">
      <c r="I226" s="929"/>
    </row>
    <row r="227" spans="1:16" ht="16.5">
      <c r="A227" s="930"/>
      <c r="B227" s="878" t="s">
        <v>2068</v>
      </c>
      <c r="F227" s="988">
        <f>5354666.04/1000</f>
        <v>5354.66604</v>
      </c>
      <c r="H227" s="802">
        <v>2622.8789300000017</v>
      </c>
      <c r="I227" s="888"/>
      <c r="J227" s="931"/>
      <c r="K227" s="906"/>
      <c r="N227" s="802"/>
      <c r="O227" s="879"/>
      <c r="P227" s="802"/>
    </row>
    <row r="228" spans="1:16" ht="16.5">
      <c r="A228" s="930"/>
      <c r="B228" s="880" t="s">
        <v>2277</v>
      </c>
      <c r="F228" s="988"/>
      <c r="I228" s="888"/>
      <c r="J228" s="931"/>
      <c r="K228" s="906"/>
      <c r="N228" s="802"/>
      <c r="O228" s="879"/>
      <c r="P228" s="802"/>
    </row>
    <row r="229" spans="1:16" ht="16.5">
      <c r="A229" s="930"/>
      <c r="B229" s="878" t="s">
        <v>2069</v>
      </c>
      <c r="F229" s="988">
        <f>12439291.45/1000</f>
        <v>12439.291449999999</v>
      </c>
      <c r="H229" s="802">
        <v>19234.05923</v>
      </c>
      <c r="I229" s="888"/>
      <c r="J229" s="931"/>
      <c r="K229" s="906"/>
      <c r="N229" s="802"/>
      <c r="O229" s="879"/>
      <c r="P229" s="802"/>
    </row>
    <row r="230" spans="1:16" ht="16.5">
      <c r="A230" s="930"/>
      <c r="B230" s="878" t="s">
        <v>2070</v>
      </c>
      <c r="F230" s="988">
        <f>1594304.92/1000</f>
        <v>1594.30492</v>
      </c>
      <c r="H230" s="802">
        <v>64257.658879999995</v>
      </c>
      <c r="I230" s="888"/>
      <c r="J230" s="931"/>
      <c r="K230" s="906"/>
      <c r="N230" s="802"/>
      <c r="O230" s="879"/>
      <c r="P230" s="802"/>
    </row>
    <row r="231" spans="1:16" ht="16.5">
      <c r="A231" s="930"/>
      <c r="B231" s="878" t="s">
        <v>2072</v>
      </c>
      <c r="F231" s="988">
        <f>65926765.65/1000</f>
        <v>65926.76565</v>
      </c>
      <c r="H231" s="802">
        <v>80615.60014</v>
      </c>
      <c r="I231" s="888"/>
      <c r="J231" s="931"/>
      <c r="K231" s="906"/>
      <c r="N231" s="802"/>
      <c r="O231" s="879"/>
      <c r="P231" s="802"/>
    </row>
    <row r="232" spans="1:16" ht="16.5">
      <c r="A232" s="930"/>
      <c r="B232" s="878" t="s">
        <v>2079</v>
      </c>
      <c r="F232" s="989">
        <v>0</v>
      </c>
      <c r="H232" s="802">
        <v>108.67817</v>
      </c>
      <c r="I232" s="888"/>
      <c r="J232" s="931"/>
      <c r="K232" s="906"/>
      <c r="N232" s="802"/>
      <c r="O232" s="879"/>
      <c r="P232" s="802"/>
    </row>
    <row r="233" spans="1:16" ht="16.5">
      <c r="A233" s="930"/>
      <c r="B233" s="878" t="s">
        <v>2073</v>
      </c>
      <c r="F233" s="988">
        <f>12495085.54/1000</f>
        <v>12495.085539999998</v>
      </c>
      <c r="H233" s="802">
        <v>0</v>
      </c>
      <c r="I233" s="888"/>
      <c r="J233" s="931"/>
      <c r="K233" s="906"/>
      <c r="N233" s="802"/>
      <c r="O233" s="879"/>
      <c r="P233" s="802"/>
    </row>
    <row r="234" spans="1:16" ht="16.5">
      <c r="A234" s="930"/>
      <c r="B234" s="878" t="s">
        <v>2292</v>
      </c>
      <c r="F234" s="988">
        <f>146196722.94/1000</f>
        <v>146196.72294</v>
      </c>
      <c r="H234" s="802">
        <v>0</v>
      </c>
      <c r="I234" s="888"/>
      <c r="J234" s="931"/>
      <c r="K234" s="906"/>
      <c r="N234" s="802"/>
      <c r="O234" s="879"/>
      <c r="P234" s="802"/>
    </row>
    <row r="235" spans="1:16" ht="16.5">
      <c r="A235" s="930"/>
      <c r="B235" s="878" t="s">
        <v>2293</v>
      </c>
      <c r="F235" s="988">
        <f>490235/1000</f>
        <v>490.235</v>
      </c>
      <c r="H235" s="802">
        <v>0</v>
      </c>
      <c r="I235" s="888"/>
      <c r="J235" s="931"/>
      <c r="K235" s="906"/>
      <c r="N235" s="802"/>
      <c r="O235" s="879"/>
      <c r="P235" s="802"/>
    </row>
    <row r="236" spans="1:16" ht="16.5">
      <c r="A236" s="930"/>
      <c r="B236" s="878" t="s">
        <v>2050</v>
      </c>
      <c r="F236" s="932">
        <f>397430744.38/1000</f>
        <v>397430.74438</v>
      </c>
      <c r="H236" s="802">
        <v>160378.77108</v>
      </c>
      <c r="I236" s="888"/>
      <c r="N236" s="802"/>
      <c r="O236" s="879"/>
      <c r="P236" s="802"/>
    </row>
    <row r="237" spans="1:16" ht="16.5">
      <c r="A237" s="930"/>
      <c r="F237" s="884">
        <f>SUM(F229:F236)</f>
        <v>636573.1498799999</v>
      </c>
      <c r="G237" s="918">
        <f>SUM(G229:G236)</f>
        <v>0</v>
      </c>
      <c r="H237" s="918">
        <f>SUM(H229:H236)</f>
        <v>324594.76749999996</v>
      </c>
      <c r="I237" s="888"/>
      <c r="N237" s="802"/>
      <c r="O237" s="879"/>
      <c r="P237" s="802"/>
    </row>
    <row r="238" spans="2:11" ht="15.75">
      <c r="B238" s="880" t="s">
        <v>2278</v>
      </c>
      <c r="K238" s="933"/>
    </row>
    <row r="239" spans="1:16" ht="16.5">
      <c r="A239" s="930"/>
      <c r="B239" s="878" t="s">
        <v>2073</v>
      </c>
      <c r="F239" s="989">
        <v>0</v>
      </c>
      <c r="H239" s="802">
        <v>642473.10348</v>
      </c>
      <c r="I239" s="888"/>
      <c r="J239" s="931"/>
      <c r="K239" s="906"/>
      <c r="N239" s="802"/>
      <c r="O239" s="879"/>
      <c r="P239" s="802"/>
    </row>
    <row r="240" spans="1:16" ht="16.5">
      <c r="A240" s="930"/>
      <c r="B240" s="878" t="s">
        <v>2079</v>
      </c>
      <c r="F240" s="988">
        <f>226312593.43/1000</f>
        <v>226312.59343</v>
      </c>
      <c r="H240" s="802">
        <v>0</v>
      </c>
      <c r="I240" s="888"/>
      <c r="J240" s="931"/>
      <c r="K240" s="906"/>
      <c r="N240" s="802"/>
      <c r="O240" s="879"/>
      <c r="P240" s="802"/>
    </row>
    <row r="241" spans="1:16" ht="16.5">
      <c r="A241" s="930"/>
      <c r="F241" s="990">
        <f>SUM(F239:F240)</f>
        <v>226312.59343</v>
      </c>
      <c r="H241" s="884">
        <f>SUM(H239:H240)</f>
        <v>642473.10348</v>
      </c>
      <c r="I241" s="888"/>
      <c r="J241" s="931"/>
      <c r="K241" s="906"/>
      <c r="N241" s="802"/>
      <c r="O241" s="879"/>
      <c r="P241" s="802"/>
    </row>
    <row r="242" spans="1:16" ht="16.5">
      <c r="A242" s="930"/>
      <c r="B242" s="878" t="s">
        <v>2071</v>
      </c>
      <c r="F242" s="988">
        <f>199893866.05/1000</f>
        <v>199893.86605</v>
      </c>
      <c r="H242" s="802">
        <v>327286.06325</v>
      </c>
      <c r="I242" s="888"/>
      <c r="J242" s="931"/>
      <c r="K242" s="906"/>
      <c r="N242" s="802"/>
      <c r="O242" s="879"/>
      <c r="P242" s="802"/>
    </row>
    <row r="243" spans="6:16" ht="16.5" thickBot="1">
      <c r="F243" s="890">
        <f>F227+F237+F241+F242</f>
        <v>1068134.2754</v>
      </c>
      <c r="G243" s="890">
        <f>G227+G237+G241+G242</f>
        <v>0</v>
      </c>
      <c r="H243" s="890">
        <f>H227+H237+H241+H242</f>
        <v>1296976.81316</v>
      </c>
      <c r="I243" s="890">
        <f>I227+I237+I239+I242</f>
        <v>0</v>
      </c>
      <c r="J243" s="889"/>
      <c r="N243" s="802"/>
      <c r="O243" s="879"/>
      <c r="P243" s="802"/>
    </row>
    <row r="244" spans="1:15" ht="16.5" thickTop="1">
      <c r="A244" s="985" t="s">
        <v>2474</v>
      </c>
      <c r="B244" s="894"/>
      <c r="C244" s="894"/>
      <c r="D244" s="894"/>
      <c r="E244" s="894"/>
      <c r="F244" s="895"/>
      <c r="G244" s="896"/>
      <c r="I244" s="894"/>
      <c r="J244" s="922"/>
      <c r="K244" s="894"/>
      <c r="L244" s="894"/>
      <c r="M244" s="894"/>
      <c r="N244" s="894"/>
      <c r="O244" s="894"/>
    </row>
    <row r="245" spans="2:15" ht="15.75">
      <c r="B245" s="894"/>
      <c r="C245" s="894"/>
      <c r="D245" s="894"/>
      <c r="E245" s="894"/>
      <c r="F245" s="895"/>
      <c r="G245" s="896"/>
      <c r="I245" s="894"/>
      <c r="J245" s="922"/>
      <c r="K245" s="894"/>
      <c r="L245" s="894"/>
      <c r="M245" s="894"/>
      <c r="N245" s="894"/>
      <c r="O245" s="894"/>
    </row>
    <row r="246" spans="1:15" ht="15.75">
      <c r="A246" s="877">
        <f>A225+1</f>
        <v>28</v>
      </c>
      <c r="B246" s="880" t="s">
        <v>811</v>
      </c>
      <c r="C246" s="893"/>
      <c r="D246" s="893"/>
      <c r="E246" s="894"/>
      <c r="F246" s="895"/>
      <c r="G246" s="896"/>
      <c r="H246" s="895"/>
      <c r="I246" s="894"/>
      <c r="J246" s="922"/>
      <c r="K246" s="894"/>
      <c r="L246" s="894"/>
      <c r="M246" s="894"/>
      <c r="N246" s="894"/>
      <c r="O246" s="894"/>
    </row>
    <row r="247" spans="2:16" ht="15.75">
      <c r="B247" s="894" t="s">
        <v>647</v>
      </c>
      <c r="C247" s="894"/>
      <c r="D247" s="894"/>
      <c r="E247" s="894"/>
      <c r="F247" s="879">
        <f>46357300/1000</f>
        <v>46357.3</v>
      </c>
      <c r="H247" s="879">
        <v>48598.877</v>
      </c>
      <c r="I247" s="903"/>
      <c r="J247" s="894"/>
      <c r="K247" s="894"/>
      <c r="L247" s="894"/>
      <c r="M247" s="894"/>
      <c r="N247" s="879"/>
      <c r="O247" s="879"/>
      <c r="P247" s="879"/>
    </row>
    <row r="248" spans="2:16" ht="18">
      <c r="B248" s="894" t="s">
        <v>1783</v>
      </c>
      <c r="C248" s="894"/>
      <c r="D248" s="894"/>
      <c r="E248" s="894"/>
      <c r="F248" s="879">
        <f>(166967900+42022255.84+135720000)/1000</f>
        <v>344710.15584</v>
      </c>
      <c r="H248" s="879">
        <v>290780.32466999994</v>
      </c>
      <c r="I248" s="903"/>
      <c r="J248" s="808"/>
      <c r="K248" s="894"/>
      <c r="L248" s="894"/>
      <c r="M248" s="894"/>
      <c r="N248" s="879"/>
      <c r="O248" s="879"/>
      <c r="P248" s="879"/>
    </row>
    <row r="249" spans="2:16" ht="15.75">
      <c r="B249" s="897" t="s">
        <v>2275</v>
      </c>
      <c r="C249" s="897"/>
      <c r="D249" s="897"/>
      <c r="E249" s="897"/>
      <c r="F249" s="879">
        <f>H249</f>
        <v>18988.684</v>
      </c>
      <c r="H249" s="879">
        <v>18988.684</v>
      </c>
      <c r="I249" s="826"/>
      <c r="J249" s="897"/>
      <c r="K249" s="897"/>
      <c r="L249" s="897"/>
      <c r="M249" s="897"/>
      <c r="N249" s="879"/>
      <c r="O249" s="879"/>
      <c r="P249" s="879"/>
    </row>
    <row r="250" spans="2:16" ht="15.75">
      <c r="B250" s="897" t="s">
        <v>2276</v>
      </c>
      <c r="C250" s="897"/>
      <c r="D250" s="897"/>
      <c r="E250" s="897"/>
      <c r="F250" s="991">
        <v>135837</v>
      </c>
      <c r="H250" s="879">
        <v>135837.34</v>
      </c>
      <c r="I250" s="826"/>
      <c r="K250" s="897"/>
      <c r="L250" s="897"/>
      <c r="M250" s="897"/>
      <c r="N250" s="879"/>
      <c r="O250" s="879"/>
      <c r="P250" s="879"/>
    </row>
    <row r="251" spans="2:15" ht="15.75">
      <c r="B251" s="893"/>
      <c r="C251" s="893"/>
      <c r="D251" s="893"/>
      <c r="E251" s="893"/>
      <c r="F251" s="899">
        <f>SUM(F247:F250)</f>
        <v>545893.1398400001</v>
      </c>
      <c r="G251" s="899"/>
      <c r="H251" s="934">
        <f>SUM(H247:H250)</f>
        <v>494205.22566999996</v>
      </c>
      <c r="I251" s="935"/>
      <c r="J251" s="893"/>
      <c r="K251" s="893"/>
      <c r="L251" s="893"/>
      <c r="M251" s="893"/>
      <c r="N251" s="893"/>
      <c r="O251" s="893"/>
    </row>
    <row r="252" spans="2:9" ht="15.75">
      <c r="B252" s="897" t="s">
        <v>812</v>
      </c>
      <c r="C252" s="897"/>
      <c r="D252" s="897"/>
      <c r="E252" s="897"/>
      <c r="F252" s="879">
        <v>0</v>
      </c>
      <c r="H252" s="879">
        <v>0</v>
      </c>
      <c r="I252" s="826"/>
    </row>
    <row r="253" spans="2:9" ht="16.5" thickBot="1">
      <c r="B253" s="897"/>
      <c r="C253" s="897"/>
      <c r="D253" s="897"/>
      <c r="E253" s="897"/>
      <c r="F253" s="890">
        <f>SUM(F251:F252)</f>
        <v>545893.1398400001</v>
      </c>
      <c r="G253" s="890">
        <f>SUM(G251:G252)</f>
        <v>0</v>
      </c>
      <c r="H253" s="890">
        <f>SUM(H251:H252)</f>
        <v>494205.22566999996</v>
      </c>
      <c r="I253" s="826"/>
    </row>
    <row r="254" spans="2:9" ht="8.25" customHeight="1" thickTop="1">
      <c r="B254" s="897"/>
      <c r="C254" s="897"/>
      <c r="D254" s="897"/>
      <c r="E254" s="897"/>
      <c r="F254" s="885"/>
      <c r="H254" s="885"/>
      <c r="I254" s="826"/>
    </row>
    <row r="255" spans="1:9" ht="15" customHeight="1">
      <c r="A255" s="985" t="s">
        <v>2475</v>
      </c>
      <c r="B255" s="897"/>
      <c r="C255" s="897"/>
      <c r="D255" s="897"/>
      <c r="E255" s="897"/>
      <c r="F255" s="885"/>
      <c r="H255" s="885"/>
      <c r="I255" s="826"/>
    </row>
    <row r="256" spans="1:9" ht="8.25" customHeight="1">
      <c r="A256" s="878"/>
      <c r="B256" s="897"/>
      <c r="C256" s="897"/>
      <c r="D256" s="897"/>
      <c r="E256" s="897"/>
      <c r="F256" s="885"/>
      <c r="H256" s="885"/>
      <c r="I256" s="826"/>
    </row>
    <row r="257" spans="2:9" ht="8.25" customHeight="1">
      <c r="B257" s="897"/>
      <c r="C257" s="897"/>
      <c r="D257" s="897"/>
      <c r="E257" s="897"/>
      <c r="F257" s="885"/>
      <c r="H257" s="885"/>
      <c r="I257" s="826"/>
    </row>
    <row r="258" spans="1:15" ht="15.75">
      <c r="A258" s="877">
        <f>A246+1</f>
        <v>29</v>
      </c>
      <c r="B258" s="893" t="s">
        <v>604</v>
      </c>
      <c r="C258" s="893"/>
      <c r="D258" s="893"/>
      <c r="E258" s="894"/>
      <c r="F258" s="899"/>
      <c r="G258" s="899"/>
      <c r="H258" s="899"/>
      <c r="I258" s="935"/>
      <c r="J258" s="894"/>
      <c r="K258" s="894"/>
      <c r="L258" s="894"/>
      <c r="M258" s="894"/>
      <c r="N258" s="894"/>
      <c r="O258" s="894"/>
    </row>
    <row r="259" spans="2:15" ht="15.75">
      <c r="B259" s="894" t="s">
        <v>1782</v>
      </c>
      <c r="C259" s="893"/>
      <c r="D259" s="893"/>
      <c r="E259" s="894"/>
      <c r="F259" s="896">
        <v>0</v>
      </c>
      <c r="G259" s="899"/>
      <c r="H259" s="896">
        <v>0</v>
      </c>
      <c r="I259" s="935"/>
      <c r="J259" s="894"/>
      <c r="K259" s="894"/>
      <c r="L259" s="894"/>
      <c r="M259" s="894"/>
      <c r="N259" s="894"/>
      <c r="O259" s="894"/>
    </row>
    <row r="260" spans="2:15" ht="15.75">
      <c r="B260" s="894" t="s">
        <v>1970</v>
      </c>
      <c r="C260" s="893"/>
      <c r="D260" s="893"/>
      <c r="E260" s="894"/>
      <c r="F260" s="896">
        <f>(140449961-(209898+159357.4+74711.2+126886.5+562653+532642.5+1159528.5+2334150+402772.5+83889+17550))/1000</f>
        <v>134785.9224</v>
      </c>
      <c r="G260" s="899"/>
      <c r="H260" s="896">
        <v>168578.166</v>
      </c>
      <c r="I260" s="935"/>
      <c r="J260" s="922"/>
      <c r="K260" s="894"/>
      <c r="L260" s="894"/>
      <c r="M260" s="894"/>
      <c r="N260" s="894"/>
      <c r="O260" s="894"/>
    </row>
    <row r="261" spans="2:15" ht="15.75">
      <c r="B261" s="894" t="s">
        <v>370</v>
      </c>
      <c r="C261" s="894"/>
      <c r="D261" s="894"/>
      <c r="E261" s="894"/>
      <c r="F261" s="802">
        <f>(209898+159357.4+74711.2+126886.5+562653+532642.5+1159528.5+2334150+402772.5+83889+17550)/1000</f>
        <v>5664.0386</v>
      </c>
      <c r="H261" s="802">
        <v>35105.501630000006</v>
      </c>
      <c r="I261" s="903"/>
      <c r="J261" s="922"/>
      <c r="K261" s="894"/>
      <c r="L261" s="894"/>
      <c r="M261" s="894"/>
      <c r="N261" s="894"/>
      <c r="O261" s="894"/>
    </row>
    <row r="262" spans="2:15" ht="15.75">
      <c r="B262" s="893"/>
      <c r="C262" s="893"/>
      <c r="D262" s="893"/>
      <c r="E262" s="894"/>
      <c r="F262" s="934">
        <f>SUM(F259:F261)</f>
        <v>140449.961</v>
      </c>
      <c r="G262" s="899"/>
      <c r="H262" s="934">
        <f>SUM(H259:H261)</f>
        <v>203683.66763</v>
      </c>
      <c r="I262" s="935"/>
      <c r="J262" s="922"/>
      <c r="K262" s="894"/>
      <c r="L262" s="894"/>
      <c r="M262" s="894"/>
      <c r="N262" s="894"/>
      <c r="O262" s="894"/>
    </row>
    <row r="263" spans="2:10" ht="15.75">
      <c r="B263" s="897" t="s">
        <v>1206</v>
      </c>
      <c r="F263" s="879">
        <v>0</v>
      </c>
      <c r="H263" s="879">
        <v>0</v>
      </c>
      <c r="I263" s="888"/>
      <c r="J263" s="889"/>
    </row>
    <row r="264" spans="2:9" ht="16.5" thickBot="1">
      <c r="B264" s="897"/>
      <c r="C264" s="897"/>
      <c r="D264" s="897"/>
      <c r="E264" s="897"/>
      <c r="F264" s="890">
        <f>SUM(F262:F263)</f>
        <v>140449.961</v>
      </c>
      <c r="G264" s="885"/>
      <c r="H264" s="890">
        <f>SUM(H262:H263)</f>
        <v>203683.66763</v>
      </c>
      <c r="I264" s="919"/>
    </row>
    <row r="265" spans="1:9" ht="16.5" thickTop="1">
      <c r="A265" s="985" t="s">
        <v>2476</v>
      </c>
      <c r="B265" s="897"/>
      <c r="C265" s="897"/>
      <c r="D265" s="897"/>
      <c r="E265" s="897"/>
      <c r="F265" s="885"/>
      <c r="G265" s="885"/>
      <c r="H265" s="885"/>
      <c r="I265" s="919"/>
    </row>
    <row r="266" spans="1:9" ht="15.75">
      <c r="A266" s="985"/>
      <c r="B266" s="897"/>
      <c r="C266" s="897"/>
      <c r="D266" s="897"/>
      <c r="E266" s="897"/>
      <c r="F266" s="885"/>
      <c r="G266" s="885"/>
      <c r="H266" s="885"/>
      <c r="I266" s="919"/>
    </row>
    <row r="267" spans="1:9" ht="15.75">
      <c r="A267" s="985"/>
      <c r="B267" s="897"/>
      <c r="C267" s="897"/>
      <c r="D267" s="897"/>
      <c r="E267" s="897"/>
      <c r="F267" s="885"/>
      <c r="G267" s="885"/>
      <c r="H267" s="885"/>
      <c r="I267" s="919"/>
    </row>
    <row r="268" spans="1:15" ht="15.75">
      <c r="A268" s="877">
        <f>A258+1</f>
        <v>30</v>
      </c>
      <c r="B268" s="893" t="s">
        <v>645</v>
      </c>
      <c r="C268" s="893"/>
      <c r="D268" s="893"/>
      <c r="E268" s="894"/>
      <c r="F268" s="895"/>
      <c r="G268" s="896"/>
      <c r="H268" s="895"/>
      <c r="I268" s="894"/>
      <c r="J268" s="894"/>
      <c r="K268" s="894"/>
      <c r="L268" s="894"/>
      <c r="M268" s="894"/>
      <c r="N268" s="894"/>
      <c r="O268" s="894"/>
    </row>
    <row r="269" spans="2:15" ht="15.75">
      <c r="B269" s="893" t="s">
        <v>1781</v>
      </c>
      <c r="C269" s="893"/>
      <c r="D269" s="893"/>
      <c r="E269" s="894"/>
      <c r="F269" s="895"/>
      <c r="G269" s="896"/>
      <c r="H269" s="895"/>
      <c r="I269" s="894"/>
      <c r="J269" s="894"/>
      <c r="K269" s="894"/>
      <c r="L269" s="894"/>
      <c r="M269" s="894"/>
      <c r="N269" s="894"/>
      <c r="O269" s="894"/>
    </row>
    <row r="270" spans="2:15" ht="15.75">
      <c r="B270" s="894" t="s">
        <v>245</v>
      </c>
      <c r="C270" s="894"/>
      <c r="D270" s="894"/>
      <c r="E270" s="894"/>
      <c r="F270" s="802">
        <f>13966050/1000</f>
        <v>13966.05</v>
      </c>
      <c r="H270" s="802">
        <v>13966</v>
      </c>
      <c r="I270" s="903"/>
      <c r="J270" s="894"/>
      <c r="K270" s="894"/>
      <c r="L270" s="894"/>
      <c r="M270" s="894"/>
      <c r="N270" s="894"/>
      <c r="O270" s="894"/>
    </row>
    <row r="271" spans="2:15" ht="16.5" thickBot="1">
      <c r="B271" s="893"/>
      <c r="C271" s="893"/>
      <c r="D271" s="893"/>
      <c r="E271" s="893"/>
      <c r="F271" s="923">
        <f>SUM(F270:F270)</f>
        <v>13966.05</v>
      </c>
      <c r="G271" s="923">
        <f>SUM(G270:G270)</f>
        <v>0</v>
      </c>
      <c r="H271" s="923">
        <f>SUM(H270:H270)</f>
        <v>13966</v>
      </c>
      <c r="I271" s="893"/>
      <c r="J271" s="893"/>
      <c r="K271" s="893"/>
      <c r="L271" s="893"/>
      <c r="M271" s="893"/>
      <c r="N271" s="893"/>
      <c r="O271" s="893"/>
    </row>
    <row r="272" spans="1:15" ht="16.5" thickTop="1">
      <c r="A272" s="985" t="s">
        <v>2477</v>
      </c>
      <c r="B272" s="893"/>
      <c r="C272" s="893"/>
      <c r="D272" s="893"/>
      <c r="E272" s="894"/>
      <c r="F272" s="895"/>
      <c r="G272" s="896"/>
      <c r="H272" s="895"/>
      <c r="I272" s="894"/>
      <c r="J272" s="894"/>
      <c r="K272" s="894"/>
      <c r="L272" s="894"/>
      <c r="M272" s="894"/>
      <c r="N272" s="894"/>
      <c r="O272" s="894"/>
    </row>
    <row r="273" spans="2:15" ht="8.25" customHeight="1">
      <c r="B273" s="893"/>
      <c r="C273" s="893"/>
      <c r="D273" s="893"/>
      <c r="E273" s="894"/>
      <c r="F273" s="899"/>
      <c r="G273" s="899"/>
      <c r="H273" s="899"/>
      <c r="I273" s="935"/>
      <c r="J273" s="894"/>
      <c r="K273" s="894"/>
      <c r="L273" s="894"/>
      <c r="M273" s="894"/>
      <c r="N273" s="894"/>
      <c r="O273" s="894"/>
    </row>
    <row r="274" spans="2:15" ht="15.75">
      <c r="B274" s="894"/>
      <c r="C274" s="893"/>
      <c r="D274" s="893"/>
      <c r="E274" s="894"/>
      <c r="F274" s="899"/>
      <c r="G274" s="899"/>
      <c r="H274" s="899"/>
      <c r="I274" s="935"/>
      <c r="J274" s="894"/>
      <c r="K274" s="894"/>
      <c r="L274" s="894"/>
      <c r="M274" s="894"/>
      <c r="N274" s="894"/>
      <c r="O274" s="894"/>
    </row>
    <row r="275" spans="2:15" ht="15.75">
      <c r="B275" s="894"/>
      <c r="C275" s="893"/>
      <c r="D275" s="893"/>
      <c r="E275" s="894"/>
      <c r="F275" s="899"/>
      <c r="G275" s="899"/>
      <c r="H275" s="899"/>
      <c r="I275" s="935"/>
      <c r="J275" s="894"/>
      <c r="K275" s="894"/>
      <c r="L275" s="894"/>
      <c r="M275" s="894"/>
      <c r="N275" s="894"/>
      <c r="O275" s="894"/>
    </row>
    <row r="276" spans="1:15" ht="15.75">
      <c r="A276" s="936"/>
      <c r="B276" s="937"/>
      <c r="C276" s="937"/>
      <c r="D276" s="936"/>
      <c r="E276" s="936"/>
      <c r="F276" s="937"/>
      <c r="G276" s="937"/>
      <c r="H276" s="937"/>
      <c r="I276" s="935"/>
      <c r="J276" s="894"/>
      <c r="K276" s="894"/>
      <c r="L276" s="894"/>
      <c r="M276" s="894"/>
      <c r="N276" s="894"/>
      <c r="O276" s="894"/>
    </row>
    <row r="277" spans="1:15" ht="10.5" customHeight="1">
      <c r="A277" s="937"/>
      <c r="B277" s="937"/>
      <c r="C277" s="936"/>
      <c r="D277" s="937"/>
      <c r="E277" s="936"/>
      <c r="F277" s="937"/>
      <c r="G277" s="937"/>
      <c r="H277" s="937"/>
      <c r="I277" s="935"/>
      <c r="J277" s="894"/>
      <c r="K277" s="894"/>
      <c r="L277" s="894"/>
      <c r="M277" s="894"/>
      <c r="N277" s="894"/>
      <c r="O277" s="894"/>
    </row>
    <row r="278" spans="1:15" ht="10.5" customHeight="1">
      <c r="A278" s="937"/>
      <c r="B278" s="937"/>
      <c r="C278" s="936"/>
      <c r="D278" s="937"/>
      <c r="E278" s="937"/>
      <c r="F278" s="937"/>
      <c r="G278" s="936"/>
      <c r="H278" s="937"/>
      <c r="I278" s="935"/>
      <c r="J278" s="894"/>
      <c r="K278" s="894"/>
      <c r="L278" s="894"/>
      <c r="M278" s="894"/>
      <c r="N278" s="894"/>
      <c r="O278" s="894"/>
    </row>
    <row r="279" spans="1:15" ht="10.5" customHeight="1">
      <c r="A279" s="937"/>
      <c r="B279" s="937"/>
      <c r="C279" s="936"/>
      <c r="D279" s="937"/>
      <c r="E279" s="937"/>
      <c r="F279" s="937"/>
      <c r="G279" s="936"/>
      <c r="H279" s="938"/>
      <c r="I279" s="935"/>
      <c r="J279" s="894"/>
      <c r="K279" s="894"/>
      <c r="L279" s="894"/>
      <c r="M279" s="894"/>
      <c r="N279" s="894"/>
      <c r="O279" s="894"/>
    </row>
    <row r="280" spans="1:15" ht="10.5" customHeight="1">
      <c r="A280" s="937"/>
      <c r="B280" s="937"/>
      <c r="C280" s="937"/>
      <c r="D280" s="937"/>
      <c r="E280" s="937"/>
      <c r="F280" s="939"/>
      <c r="G280" s="939"/>
      <c r="H280" s="937"/>
      <c r="I280" s="935"/>
      <c r="J280" s="894"/>
      <c r="K280" s="894"/>
      <c r="L280" s="894"/>
      <c r="M280" s="894"/>
      <c r="N280" s="894"/>
      <c r="O280" s="894"/>
    </row>
    <row r="281" spans="1:15" ht="10.5" customHeight="1">
      <c r="A281" s="939"/>
      <c r="B281" s="937"/>
      <c r="C281" s="937"/>
      <c r="D281" s="937"/>
      <c r="E281" s="937"/>
      <c r="F281" s="937"/>
      <c r="G281" s="937"/>
      <c r="H281" s="937"/>
      <c r="I281" s="935"/>
      <c r="J281" s="894"/>
      <c r="K281" s="894"/>
      <c r="L281" s="894"/>
      <c r="M281" s="894"/>
      <c r="N281" s="894"/>
      <c r="O281" s="894"/>
    </row>
    <row r="282" spans="2:15" ht="10.5" customHeight="1">
      <c r="B282" s="893"/>
      <c r="C282" s="893"/>
      <c r="D282" s="893"/>
      <c r="E282" s="894"/>
      <c r="F282" s="899"/>
      <c r="G282" s="899"/>
      <c r="H282" s="899"/>
      <c r="I282" s="935"/>
      <c r="J282" s="894"/>
      <c r="K282" s="894"/>
      <c r="L282" s="894"/>
      <c r="M282" s="894"/>
      <c r="N282" s="894"/>
      <c r="O282" s="894"/>
    </row>
    <row r="283" spans="2:15" ht="10.5" customHeight="1">
      <c r="B283" s="893"/>
      <c r="C283" s="893"/>
      <c r="D283" s="893"/>
      <c r="E283" s="894"/>
      <c r="F283" s="899"/>
      <c r="G283" s="899"/>
      <c r="H283" s="899"/>
      <c r="I283" s="935"/>
      <c r="J283" s="894"/>
      <c r="K283" s="894"/>
      <c r="L283" s="894"/>
      <c r="M283" s="894"/>
      <c r="N283" s="894"/>
      <c r="O283" s="894"/>
    </row>
    <row r="284" spans="2:15" ht="10.5" customHeight="1">
      <c r="B284" s="893"/>
      <c r="C284" s="893"/>
      <c r="D284" s="893"/>
      <c r="E284" s="894"/>
      <c r="F284" s="899"/>
      <c r="G284" s="899"/>
      <c r="H284" s="899"/>
      <c r="I284" s="935"/>
      <c r="J284" s="894"/>
      <c r="K284" s="894"/>
      <c r="L284" s="894"/>
      <c r="M284" s="894"/>
      <c r="N284" s="894"/>
      <c r="O284" s="894"/>
    </row>
    <row r="285" spans="2:15" ht="10.5" customHeight="1">
      <c r="B285" s="893"/>
      <c r="C285" s="893"/>
      <c r="D285" s="893"/>
      <c r="E285" s="894"/>
      <c r="F285" s="899"/>
      <c r="G285" s="899"/>
      <c r="H285" s="899"/>
      <c r="I285" s="935"/>
      <c r="J285" s="894"/>
      <c r="K285" s="894"/>
      <c r="L285" s="894"/>
      <c r="M285" s="894"/>
      <c r="N285" s="894"/>
      <c r="O285" s="894"/>
    </row>
    <row r="286" spans="2:15" ht="10.5" customHeight="1">
      <c r="B286" s="893"/>
      <c r="C286" s="893"/>
      <c r="D286" s="893"/>
      <c r="E286" s="894"/>
      <c r="F286" s="899"/>
      <c r="G286" s="899"/>
      <c r="H286" s="899"/>
      <c r="I286" s="935"/>
      <c r="J286" s="894"/>
      <c r="K286" s="894"/>
      <c r="L286" s="894"/>
      <c r="M286" s="894"/>
      <c r="N286" s="894"/>
      <c r="O286" s="894"/>
    </row>
    <row r="287" spans="2:15" ht="10.5" customHeight="1">
      <c r="B287" s="893"/>
      <c r="C287" s="893"/>
      <c r="D287" s="893"/>
      <c r="E287" s="894"/>
      <c r="F287" s="899"/>
      <c r="G287" s="899"/>
      <c r="H287" s="899"/>
      <c r="I287" s="935"/>
      <c r="J287" s="894"/>
      <c r="K287" s="894"/>
      <c r="L287" s="894"/>
      <c r="M287" s="894"/>
      <c r="N287" s="894"/>
      <c r="O287" s="894"/>
    </row>
    <row r="288" spans="2:15" ht="10.5" customHeight="1">
      <c r="B288" s="893"/>
      <c r="C288" s="893"/>
      <c r="D288" s="893"/>
      <c r="E288" s="894"/>
      <c r="F288" s="899"/>
      <c r="G288" s="899"/>
      <c r="H288" s="899"/>
      <c r="I288" s="935"/>
      <c r="J288" s="894"/>
      <c r="K288" s="894"/>
      <c r="L288" s="894"/>
      <c r="M288" s="894"/>
      <c r="N288" s="894"/>
      <c r="O288" s="894"/>
    </row>
    <row r="289" spans="2:15" ht="10.5" customHeight="1">
      <c r="B289" s="893"/>
      <c r="C289" s="893"/>
      <c r="D289" s="893"/>
      <c r="E289" s="894"/>
      <c r="F289" s="899"/>
      <c r="G289" s="899"/>
      <c r="H289" s="899"/>
      <c r="I289" s="935"/>
      <c r="J289" s="894"/>
      <c r="K289" s="894"/>
      <c r="L289" s="894"/>
      <c r="M289" s="894"/>
      <c r="N289" s="894"/>
      <c r="O289" s="894"/>
    </row>
    <row r="290" spans="2:15" ht="10.5" customHeight="1">
      <c r="B290" s="893"/>
      <c r="C290" s="893"/>
      <c r="D290" s="893"/>
      <c r="E290" s="894"/>
      <c r="F290" s="899"/>
      <c r="G290" s="899"/>
      <c r="H290" s="899"/>
      <c r="I290" s="935"/>
      <c r="J290" s="894"/>
      <c r="K290" s="894"/>
      <c r="L290" s="894"/>
      <c r="M290" s="894"/>
      <c r="N290" s="894"/>
      <c r="O290" s="894"/>
    </row>
    <row r="291" spans="2:15" ht="10.5" customHeight="1">
      <c r="B291" s="893"/>
      <c r="C291" s="893"/>
      <c r="D291" s="893"/>
      <c r="E291" s="894"/>
      <c r="F291" s="899"/>
      <c r="G291" s="899"/>
      <c r="H291" s="899"/>
      <c r="I291" s="935"/>
      <c r="J291" s="894"/>
      <c r="K291" s="894"/>
      <c r="L291" s="894"/>
      <c r="M291" s="894"/>
      <c r="N291" s="894"/>
      <c r="O291" s="894"/>
    </row>
    <row r="292" spans="2:15" ht="10.5" customHeight="1">
      <c r="B292" s="893"/>
      <c r="C292" s="893"/>
      <c r="D292" s="893"/>
      <c r="E292" s="894"/>
      <c r="F292" s="899"/>
      <c r="G292" s="899"/>
      <c r="H292" s="899"/>
      <c r="I292" s="935"/>
      <c r="J292" s="894"/>
      <c r="K292" s="894"/>
      <c r="L292" s="894"/>
      <c r="M292" s="894"/>
      <c r="N292" s="894"/>
      <c r="O292" s="894"/>
    </row>
    <row r="293" spans="2:15" ht="10.5" customHeight="1">
      <c r="B293" s="893"/>
      <c r="C293" s="893"/>
      <c r="D293" s="893"/>
      <c r="E293" s="894"/>
      <c r="F293" s="899"/>
      <c r="G293" s="899"/>
      <c r="H293" s="899"/>
      <c r="I293" s="935"/>
      <c r="J293" s="894"/>
      <c r="K293" s="894"/>
      <c r="L293" s="894"/>
      <c r="M293" s="894"/>
      <c r="N293" s="894"/>
      <c r="O293" s="894"/>
    </row>
    <row r="294" spans="2:15" ht="10.5" customHeight="1">
      <c r="B294" s="893"/>
      <c r="C294" s="893"/>
      <c r="D294" s="893"/>
      <c r="E294" s="894"/>
      <c r="F294" s="899"/>
      <c r="G294" s="899"/>
      <c r="H294" s="899"/>
      <c r="I294" s="935"/>
      <c r="J294" s="894"/>
      <c r="K294" s="894"/>
      <c r="L294" s="894"/>
      <c r="M294" s="894"/>
      <c r="N294" s="894"/>
      <c r="O294" s="894"/>
    </row>
    <row r="295" spans="2:15" ht="10.5" customHeight="1">
      <c r="B295" s="893"/>
      <c r="C295" s="893"/>
      <c r="D295" s="893"/>
      <c r="E295" s="894"/>
      <c r="F295" s="899"/>
      <c r="G295" s="899"/>
      <c r="H295" s="899"/>
      <c r="I295" s="935"/>
      <c r="J295" s="894"/>
      <c r="K295" s="894"/>
      <c r="L295" s="894"/>
      <c r="M295" s="894"/>
      <c r="N295" s="894"/>
      <c r="O295" s="894"/>
    </row>
    <row r="296" spans="2:15" ht="10.5" customHeight="1">
      <c r="B296" s="893"/>
      <c r="C296" s="893"/>
      <c r="D296" s="893"/>
      <c r="E296" s="894"/>
      <c r="F296" s="899"/>
      <c r="G296" s="899"/>
      <c r="H296" s="899"/>
      <c r="I296" s="935"/>
      <c r="J296" s="894"/>
      <c r="K296" s="894"/>
      <c r="L296" s="894"/>
      <c r="M296" s="894"/>
      <c r="N296" s="894"/>
      <c r="O296" s="894"/>
    </row>
    <row r="297" spans="2:15" ht="10.5" customHeight="1">
      <c r="B297" s="893"/>
      <c r="C297" s="893"/>
      <c r="D297" s="893"/>
      <c r="E297" s="894"/>
      <c r="F297" s="899"/>
      <c r="G297" s="899"/>
      <c r="H297" s="899"/>
      <c r="I297" s="935"/>
      <c r="J297" s="894"/>
      <c r="K297" s="894"/>
      <c r="L297" s="894"/>
      <c r="M297" s="894"/>
      <c r="N297" s="894"/>
      <c r="O297" s="894"/>
    </row>
    <row r="298" spans="2:15" ht="10.5" customHeight="1">
      <c r="B298" s="893"/>
      <c r="C298" s="893"/>
      <c r="D298" s="893"/>
      <c r="E298" s="894"/>
      <c r="F298" s="899"/>
      <c r="G298" s="899"/>
      <c r="H298" s="899"/>
      <c r="I298" s="935"/>
      <c r="J298" s="894"/>
      <c r="K298" s="894"/>
      <c r="L298" s="894"/>
      <c r="M298" s="894"/>
      <c r="N298" s="894"/>
      <c r="O298" s="894"/>
    </row>
    <row r="299" spans="2:15" ht="10.5" customHeight="1">
      <c r="B299" s="893"/>
      <c r="C299" s="893"/>
      <c r="D299" s="893"/>
      <c r="E299" s="894"/>
      <c r="F299" s="899"/>
      <c r="G299" s="899"/>
      <c r="H299" s="899"/>
      <c r="I299" s="935"/>
      <c r="J299" s="894"/>
      <c r="K299" s="894"/>
      <c r="L299" s="894"/>
      <c r="M299" s="894"/>
      <c r="N299" s="894"/>
      <c r="O299" s="894"/>
    </row>
    <row r="300" spans="2:15" ht="10.5" customHeight="1">
      <c r="B300" s="893"/>
      <c r="C300" s="893"/>
      <c r="D300" s="893"/>
      <c r="E300" s="894"/>
      <c r="F300" s="899"/>
      <c r="G300" s="899"/>
      <c r="H300" s="899"/>
      <c r="I300" s="935"/>
      <c r="J300" s="894"/>
      <c r="K300" s="894"/>
      <c r="L300" s="894"/>
      <c r="M300" s="894"/>
      <c r="N300" s="894"/>
      <c r="O300" s="894"/>
    </row>
    <row r="301" spans="2:15" ht="10.5" customHeight="1">
      <c r="B301" s="893"/>
      <c r="C301" s="893"/>
      <c r="D301" s="893"/>
      <c r="E301" s="894"/>
      <c r="F301" s="899"/>
      <c r="G301" s="899"/>
      <c r="H301" s="899"/>
      <c r="I301" s="935"/>
      <c r="J301" s="894"/>
      <c r="K301" s="894"/>
      <c r="L301" s="894"/>
      <c r="M301" s="894"/>
      <c r="N301" s="894"/>
      <c r="O301" s="894"/>
    </row>
    <row r="302" spans="2:15" ht="10.5" customHeight="1">
      <c r="B302" s="893"/>
      <c r="C302" s="893"/>
      <c r="D302" s="893"/>
      <c r="E302" s="894"/>
      <c r="F302" s="899"/>
      <c r="G302" s="899"/>
      <c r="H302" s="899"/>
      <c r="I302" s="935"/>
      <c r="J302" s="894"/>
      <c r="K302" s="894"/>
      <c r="L302" s="894"/>
      <c r="M302" s="894"/>
      <c r="N302" s="894"/>
      <c r="O302" s="894"/>
    </row>
    <row r="303" spans="2:15" ht="10.5" customHeight="1">
      <c r="B303" s="893"/>
      <c r="C303" s="893"/>
      <c r="D303" s="893"/>
      <c r="E303" s="894"/>
      <c r="F303" s="899"/>
      <c r="G303" s="899"/>
      <c r="H303" s="899"/>
      <c r="I303" s="935"/>
      <c r="J303" s="894"/>
      <c r="K303" s="894"/>
      <c r="L303" s="894"/>
      <c r="M303" s="894"/>
      <c r="N303" s="894"/>
      <c r="O303" s="894"/>
    </row>
    <row r="304" spans="2:15" ht="10.5" customHeight="1">
      <c r="B304" s="893"/>
      <c r="C304" s="893"/>
      <c r="D304" s="893"/>
      <c r="E304" s="894"/>
      <c r="F304" s="899"/>
      <c r="G304" s="899"/>
      <c r="H304" s="899"/>
      <c r="I304" s="935"/>
      <c r="J304" s="894"/>
      <c r="K304" s="894"/>
      <c r="L304" s="894"/>
      <c r="M304" s="894"/>
      <c r="N304" s="894"/>
      <c r="O304" s="894"/>
    </row>
    <row r="305" spans="2:15" ht="10.5" customHeight="1">
      <c r="B305" s="893"/>
      <c r="C305" s="893"/>
      <c r="D305" s="893"/>
      <c r="E305" s="894"/>
      <c r="F305" s="899"/>
      <c r="G305" s="899"/>
      <c r="H305" s="899"/>
      <c r="I305" s="935"/>
      <c r="J305" s="894"/>
      <c r="K305" s="894"/>
      <c r="L305" s="894"/>
      <c r="M305" s="894"/>
      <c r="N305" s="894"/>
      <c r="O305" s="894"/>
    </row>
    <row r="306" spans="2:15" ht="10.5" customHeight="1">
      <c r="B306" s="893"/>
      <c r="C306" s="893"/>
      <c r="D306" s="893"/>
      <c r="E306" s="894"/>
      <c r="F306" s="899"/>
      <c r="G306" s="899"/>
      <c r="H306" s="899"/>
      <c r="I306" s="935"/>
      <c r="J306" s="894"/>
      <c r="K306" s="894"/>
      <c r="L306" s="894"/>
      <c r="M306" s="894"/>
      <c r="N306" s="894"/>
      <c r="O306" s="894"/>
    </row>
    <row r="307" spans="2:15" ht="10.5" customHeight="1">
      <c r="B307" s="893"/>
      <c r="C307" s="893"/>
      <c r="D307" s="893"/>
      <c r="E307" s="894"/>
      <c r="F307" s="899"/>
      <c r="G307" s="899"/>
      <c r="H307" s="899"/>
      <c r="I307" s="935"/>
      <c r="J307" s="894"/>
      <c r="K307" s="894"/>
      <c r="L307" s="894"/>
      <c r="M307" s="894"/>
      <c r="N307" s="894"/>
      <c r="O307" s="894"/>
    </row>
    <row r="308" spans="2:15" ht="10.5" customHeight="1">
      <c r="B308" s="893"/>
      <c r="C308" s="893"/>
      <c r="D308" s="893"/>
      <c r="E308" s="894"/>
      <c r="F308" s="899"/>
      <c r="G308" s="899"/>
      <c r="H308" s="899"/>
      <c r="I308" s="935"/>
      <c r="J308" s="894"/>
      <c r="K308" s="894"/>
      <c r="L308" s="894"/>
      <c r="M308" s="894"/>
      <c r="N308" s="894"/>
      <c r="O308" s="894"/>
    </row>
    <row r="309" spans="2:15" ht="10.5" customHeight="1">
      <c r="B309" s="893"/>
      <c r="C309" s="893"/>
      <c r="D309" s="893"/>
      <c r="E309" s="894"/>
      <c r="F309" s="899"/>
      <c r="G309" s="899"/>
      <c r="H309" s="899"/>
      <c r="I309" s="935"/>
      <c r="J309" s="894"/>
      <c r="K309" s="894"/>
      <c r="L309" s="894"/>
      <c r="M309" s="894"/>
      <c r="N309" s="894"/>
      <c r="O309" s="894"/>
    </row>
    <row r="310" spans="2:15" ht="10.5" customHeight="1">
      <c r="B310" s="893"/>
      <c r="C310" s="893"/>
      <c r="D310" s="893"/>
      <c r="E310" s="894"/>
      <c r="F310" s="899"/>
      <c r="G310" s="899"/>
      <c r="H310" s="899"/>
      <c r="I310" s="935"/>
      <c r="J310" s="894"/>
      <c r="K310" s="894"/>
      <c r="L310" s="894"/>
      <c r="M310" s="894"/>
      <c r="N310" s="894"/>
      <c r="O310" s="894"/>
    </row>
    <row r="311" spans="2:15" ht="10.5" customHeight="1">
      <c r="B311" s="893"/>
      <c r="C311" s="893"/>
      <c r="D311" s="893"/>
      <c r="E311" s="894"/>
      <c r="F311" s="899"/>
      <c r="G311" s="899"/>
      <c r="H311" s="899"/>
      <c r="I311" s="935"/>
      <c r="J311" s="894"/>
      <c r="K311" s="894"/>
      <c r="L311" s="894"/>
      <c r="M311" s="894"/>
      <c r="N311" s="894"/>
      <c r="O311" s="894"/>
    </row>
    <row r="312" spans="2:15" ht="10.5" customHeight="1">
      <c r="B312" s="893"/>
      <c r="C312" s="893"/>
      <c r="D312" s="893"/>
      <c r="E312" s="894"/>
      <c r="F312" s="899"/>
      <c r="G312" s="899"/>
      <c r="H312" s="899"/>
      <c r="I312" s="935"/>
      <c r="J312" s="894"/>
      <c r="K312" s="894"/>
      <c r="L312" s="894"/>
      <c r="M312" s="894"/>
      <c r="N312" s="894"/>
      <c r="O312" s="894"/>
    </row>
    <row r="313" spans="2:15" ht="10.5" customHeight="1">
      <c r="B313" s="893"/>
      <c r="C313" s="893"/>
      <c r="D313" s="893"/>
      <c r="E313" s="894"/>
      <c r="F313" s="899"/>
      <c r="G313" s="899"/>
      <c r="H313" s="899"/>
      <c r="I313" s="935"/>
      <c r="J313" s="894"/>
      <c r="K313" s="894"/>
      <c r="L313" s="894"/>
      <c r="M313" s="894"/>
      <c r="N313" s="894"/>
      <c r="O313" s="894"/>
    </row>
    <row r="314" spans="2:15" ht="10.5" customHeight="1">
      <c r="B314" s="893"/>
      <c r="C314" s="893"/>
      <c r="D314" s="893"/>
      <c r="E314" s="894"/>
      <c r="F314" s="899"/>
      <c r="G314" s="899"/>
      <c r="H314" s="899"/>
      <c r="I314" s="935"/>
      <c r="J314" s="894"/>
      <c r="K314" s="894"/>
      <c r="L314" s="894"/>
      <c r="M314" s="894"/>
      <c r="N314" s="894"/>
      <c r="O314" s="894"/>
    </row>
    <row r="315" spans="2:15" ht="10.5" customHeight="1">
      <c r="B315" s="893"/>
      <c r="C315" s="893"/>
      <c r="D315" s="893"/>
      <c r="E315" s="894"/>
      <c r="F315" s="899"/>
      <c r="G315" s="899"/>
      <c r="H315" s="899"/>
      <c r="I315" s="935"/>
      <c r="J315" s="894"/>
      <c r="K315" s="894"/>
      <c r="L315" s="894"/>
      <c r="M315" s="894"/>
      <c r="N315" s="894"/>
      <c r="O315" s="894"/>
    </row>
    <row r="316" spans="2:15" ht="10.5" customHeight="1">
      <c r="B316" s="893"/>
      <c r="C316" s="893"/>
      <c r="D316" s="893"/>
      <c r="E316" s="894"/>
      <c r="F316" s="899"/>
      <c r="G316" s="899"/>
      <c r="H316" s="899"/>
      <c r="I316" s="935"/>
      <c r="J316" s="894"/>
      <c r="K316" s="894"/>
      <c r="L316" s="894"/>
      <c r="M316" s="894"/>
      <c r="N316" s="894"/>
      <c r="O316" s="894"/>
    </row>
    <row r="317" spans="2:15" ht="10.5" customHeight="1">
      <c r="B317" s="893"/>
      <c r="C317" s="893"/>
      <c r="D317" s="893"/>
      <c r="E317" s="894"/>
      <c r="F317" s="899"/>
      <c r="G317" s="899"/>
      <c r="H317" s="899"/>
      <c r="I317" s="935"/>
      <c r="J317" s="894"/>
      <c r="K317" s="894"/>
      <c r="L317" s="894"/>
      <c r="M317" s="894"/>
      <c r="N317" s="894"/>
      <c r="O317" s="894"/>
    </row>
    <row r="318" spans="2:15" ht="10.5" customHeight="1">
      <c r="B318" s="893"/>
      <c r="C318" s="893"/>
      <c r="D318" s="893"/>
      <c r="E318" s="894"/>
      <c r="F318" s="899"/>
      <c r="G318" s="899"/>
      <c r="H318" s="899"/>
      <c r="I318" s="935"/>
      <c r="J318" s="894"/>
      <c r="K318" s="894"/>
      <c r="L318" s="894"/>
      <c r="M318" s="894"/>
      <c r="N318" s="894"/>
      <c r="O318" s="894"/>
    </row>
    <row r="319" spans="2:15" ht="10.5" customHeight="1">
      <c r="B319" s="893"/>
      <c r="C319" s="893"/>
      <c r="D319" s="893"/>
      <c r="E319" s="894"/>
      <c r="F319" s="899"/>
      <c r="G319" s="899"/>
      <c r="H319" s="899"/>
      <c r="I319" s="935"/>
      <c r="J319" s="894"/>
      <c r="K319" s="894"/>
      <c r="L319" s="894"/>
      <c r="M319" s="894"/>
      <c r="N319" s="894"/>
      <c r="O319" s="894"/>
    </row>
    <row r="320" spans="2:15" ht="10.5" customHeight="1">
      <c r="B320" s="893"/>
      <c r="C320" s="893"/>
      <c r="D320" s="893"/>
      <c r="E320" s="894"/>
      <c r="F320" s="899"/>
      <c r="G320" s="899"/>
      <c r="H320" s="899"/>
      <c r="I320" s="935"/>
      <c r="J320" s="894"/>
      <c r="K320" s="894"/>
      <c r="L320" s="894"/>
      <c r="M320" s="894"/>
      <c r="N320" s="894"/>
      <c r="O320" s="894"/>
    </row>
    <row r="321" spans="2:15" ht="10.5" customHeight="1">
      <c r="B321" s="893"/>
      <c r="C321" s="893"/>
      <c r="D321" s="893"/>
      <c r="E321" s="894"/>
      <c r="F321" s="899"/>
      <c r="G321" s="899"/>
      <c r="H321" s="899"/>
      <c r="I321" s="935"/>
      <c r="J321" s="894"/>
      <c r="K321" s="894"/>
      <c r="L321" s="894"/>
      <c r="M321" s="894"/>
      <c r="N321" s="894"/>
      <c r="O321" s="894"/>
    </row>
    <row r="322" spans="2:15" ht="10.5" customHeight="1">
      <c r="B322" s="893"/>
      <c r="C322" s="893"/>
      <c r="D322" s="893"/>
      <c r="E322" s="894"/>
      <c r="F322" s="899"/>
      <c r="G322" s="899"/>
      <c r="H322" s="899"/>
      <c r="I322" s="935"/>
      <c r="J322" s="894"/>
      <c r="K322" s="894"/>
      <c r="L322" s="894"/>
      <c r="M322" s="894"/>
      <c r="N322" s="894"/>
      <c r="O322" s="894"/>
    </row>
    <row r="323" spans="2:15" ht="10.5" customHeight="1">
      <c r="B323" s="893"/>
      <c r="C323" s="893"/>
      <c r="D323" s="893"/>
      <c r="E323" s="894"/>
      <c r="F323" s="899"/>
      <c r="G323" s="899"/>
      <c r="H323" s="899"/>
      <c r="I323" s="935"/>
      <c r="J323" s="894"/>
      <c r="K323" s="894"/>
      <c r="L323" s="894"/>
      <c r="M323" s="894"/>
      <c r="N323" s="894"/>
      <c r="O323" s="894"/>
    </row>
    <row r="324" spans="2:15" ht="10.5" customHeight="1">
      <c r="B324" s="893"/>
      <c r="C324" s="893"/>
      <c r="D324" s="893"/>
      <c r="E324" s="894"/>
      <c r="F324" s="899"/>
      <c r="G324" s="899"/>
      <c r="H324" s="899"/>
      <c r="I324" s="935"/>
      <c r="J324" s="894"/>
      <c r="K324" s="894"/>
      <c r="L324" s="894"/>
      <c r="M324" s="894"/>
      <c r="N324" s="894"/>
      <c r="O324" s="894"/>
    </row>
    <row r="325" spans="2:15" ht="10.5" customHeight="1">
      <c r="B325" s="893"/>
      <c r="C325" s="893"/>
      <c r="D325" s="893"/>
      <c r="E325" s="894"/>
      <c r="F325" s="899"/>
      <c r="G325" s="899"/>
      <c r="H325" s="899"/>
      <c r="I325" s="935"/>
      <c r="J325" s="894"/>
      <c r="K325" s="894"/>
      <c r="L325" s="894"/>
      <c r="M325" s="894"/>
      <c r="N325" s="894"/>
      <c r="O325" s="894"/>
    </row>
    <row r="326" spans="2:15" ht="10.5" customHeight="1">
      <c r="B326" s="893"/>
      <c r="C326" s="893"/>
      <c r="D326" s="893"/>
      <c r="E326" s="894"/>
      <c r="F326" s="899"/>
      <c r="G326" s="899"/>
      <c r="H326" s="899"/>
      <c r="I326" s="935"/>
      <c r="J326" s="894"/>
      <c r="K326" s="894"/>
      <c r="L326" s="894"/>
      <c r="M326" s="894"/>
      <c r="N326" s="894"/>
      <c r="O326" s="894"/>
    </row>
    <row r="327" spans="2:15" ht="10.5" customHeight="1">
      <c r="B327" s="893"/>
      <c r="C327" s="893"/>
      <c r="D327" s="893"/>
      <c r="E327" s="894"/>
      <c r="F327" s="899"/>
      <c r="G327" s="899"/>
      <c r="H327" s="899"/>
      <c r="I327" s="935"/>
      <c r="J327" s="894"/>
      <c r="K327" s="894"/>
      <c r="L327" s="894"/>
      <c r="M327" s="894"/>
      <c r="N327" s="894"/>
      <c r="O327" s="894"/>
    </row>
    <row r="328" spans="2:15" ht="10.5" customHeight="1">
      <c r="B328" s="893"/>
      <c r="C328" s="893"/>
      <c r="D328" s="893"/>
      <c r="E328" s="894"/>
      <c r="F328" s="899"/>
      <c r="G328" s="899"/>
      <c r="H328" s="899"/>
      <c r="I328" s="935"/>
      <c r="J328" s="894"/>
      <c r="K328" s="894"/>
      <c r="L328" s="894"/>
      <c r="M328" s="894"/>
      <c r="N328" s="894"/>
      <c r="O328" s="894"/>
    </row>
    <row r="329" spans="2:15" ht="10.5" customHeight="1">
      <c r="B329" s="893"/>
      <c r="C329" s="893"/>
      <c r="D329" s="893"/>
      <c r="E329" s="894"/>
      <c r="F329" s="899"/>
      <c r="G329" s="899"/>
      <c r="H329" s="899"/>
      <c r="I329" s="935"/>
      <c r="J329" s="894"/>
      <c r="K329" s="894"/>
      <c r="L329" s="894"/>
      <c r="M329" s="894"/>
      <c r="N329" s="894"/>
      <c r="O329" s="894"/>
    </row>
    <row r="330" spans="2:15" ht="10.5" customHeight="1">
      <c r="B330" s="893"/>
      <c r="C330" s="893"/>
      <c r="D330" s="893"/>
      <c r="E330" s="894"/>
      <c r="F330" s="899"/>
      <c r="G330" s="899"/>
      <c r="H330" s="899"/>
      <c r="I330" s="935"/>
      <c r="J330" s="894"/>
      <c r="K330" s="894"/>
      <c r="L330" s="894"/>
      <c r="M330" s="894"/>
      <c r="N330" s="894"/>
      <c r="O330" s="894"/>
    </row>
    <row r="331" spans="2:15" ht="10.5" customHeight="1">
      <c r="B331" s="893"/>
      <c r="C331" s="893"/>
      <c r="D331" s="893"/>
      <c r="E331" s="894"/>
      <c r="F331" s="899"/>
      <c r="G331" s="899"/>
      <c r="H331" s="899"/>
      <c r="I331" s="935"/>
      <c r="J331" s="894"/>
      <c r="K331" s="894"/>
      <c r="L331" s="894"/>
      <c r="M331" s="894"/>
      <c r="N331" s="894"/>
      <c r="O331" s="894"/>
    </row>
    <row r="332" spans="2:15" ht="10.5" customHeight="1">
      <c r="B332" s="893"/>
      <c r="C332" s="893"/>
      <c r="D332" s="893"/>
      <c r="E332" s="894"/>
      <c r="F332" s="899"/>
      <c r="G332" s="899"/>
      <c r="H332" s="899"/>
      <c r="I332" s="935"/>
      <c r="J332" s="894"/>
      <c r="K332" s="894"/>
      <c r="L332" s="894"/>
      <c r="M332" s="894"/>
      <c r="N332" s="894"/>
      <c r="O332" s="894"/>
    </row>
    <row r="333" spans="2:15" ht="10.5" customHeight="1">
      <c r="B333" s="893"/>
      <c r="C333" s="893"/>
      <c r="D333" s="893"/>
      <c r="E333" s="894"/>
      <c r="F333" s="899"/>
      <c r="G333" s="899"/>
      <c r="H333" s="899"/>
      <c r="I333" s="935"/>
      <c r="J333" s="894"/>
      <c r="K333" s="894"/>
      <c r="L333" s="894"/>
      <c r="M333" s="894"/>
      <c r="N333" s="894"/>
      <c r="O333" s="894"/>
    </row>
    <row r="334" spans="2:15" ht="10.5" customHeight="1">
      <c r="B334" s="893"/>
      <c r="C334" s="893"/>
      <c r="D334" s="893"/>
      <c r="E334" s="894"/>
      <c r="F334" s="899"/>
      <c r="G334" s="899"/>
      <c r="H334" s="899"/>
      <c r="I334" s="935"/>
      <c r="J334" s="894"/>
      <c r="K334" s="894"/>
      <c r="L334" s="894"/>
      <c r="M334" s="894"/>
      <c r="N334" s="894"/>
      <c r="O334" s="894"/>
    </row>
    <row r="335" spans="2:15" ht="10.5" customHeight="1">
      <c r="B335" s="893"/>
      <c r="C335" s="893"/>
      <c r="D335" s="893"/>
      <c r="E335" s="894"/>
      <c r="F335" s="899"/>
      <c r="G335" s="899"/>
      <c r="H335" s="899"/>
      <c r="I335" s="935"/>
      <c r="J335" s="894"/>
      <c r="K335" s="894"/>
      <c r="L335" s="894"/>
      <c r="M335" s="894"/>
      <c r="N335" s="894"/>
      <c r="O335" s="894"/>
    </row>
    <row r="336" spans="2:15" ht="10.5" customHeight="1">
      <c r="B336" s="893"/>
      <c r="C336" s="893"/>
      <c r="D336" s="893"/>
      <c r="E336" s="894"/>
      <c r="F336" s="899"/>
      <c r="G336" s="899"/>
      <c r="H336" s="899"/>
      <c r="I336" s="935"/>
      <c r="J336" s="894"/>
      <c r="K336" s="894"/>
      <c r="L336" s="894"/>
      <c r="M336" s="894"/>
      <c r="N336" s="894"/>
      <c r="O336" s="894"/>
    </row>
    <row r="337" spans="2:15" ht="10.5" customHeight="1">
      <c r="B337" s="893"/>
      <c r="C337" s="893"/>
      <c r="D337" s="893"/>
      <c r="E337" s="894"/>
      <c r="F337" s="899"/>
      <c r="G337" s="899"/>
      <c r="H337" s="899"/>
      <c r="I337" s="935"/>
      <c r="J337" s="894"/>
      <c r="K337" s="894"/>
      <c r="L337" s="894"/>
      <c r="M337" s="894"/>
      <c r="N337" s="894"/>
      <c r="O337" s="894"/>
    </row>
    <row r="338" spans="2:15" ht="10.5" customHeight="1">
      <c r="B338" s="893"/>
      <c r="C338" s="893"/>
      <c r="D338" s="893"/>
      <c r="E338" s="894"/>
      <c r="F338" s="899"/>
      <c r="G338" s="899"/>
      <c r="H338" s="899"/>
      <c r="I338" s="935"/>
      <c r="J338" s="894"/>
      <c r="K338" s="894"/>
      <c r="L338" s="894"/>
      <c r="M338" s="894"/>
      <c r="N338" s="894"/>
      <c r="O338" s="894"/>
    </row>
    <row r="339" spans="2:15" ht="10.5" customHeight="1">
      <c r="B339" s="893"/>
      <c r="C339" s="893"/>
      <c r="D339" s="893"/>
      <c r="E339" s="894"/>
      <c r="F339" s="899"/>
      <c r="G339" s="899"/>
      <c r="H339" s="899"/>
      <c r="I339" s="935"/>
      <c r="J339" s="894"/>
      <c r="K339" s="894"/>
      <c r="L339" s="894"/>
      <c r="M339" s="894"/>
      <c r="N339" s="894"/>
      <c r="O339" s="894"/>
    </row>
    <row r="340" spans="2:15" ht="10.5" customHeight="1">
      <c r="B340" s="893"/>
      <c r="C340" s="893"/>
      <c r="D340" s="893"/>
      <c r="E340" s="894"/>
      <c r="F340" s="899"/>
      <c r="G340" s="899"/>
      <c r="H340" s="899"/>
      <c r="I340" s="935"/>
      <c r="J340" s="894"/>
      <c r="K340" s="894"/>
      <c r="L340" s="894"/>
      <c r="M340" s="894"/>
      <c r="N340" s="894"/>
      <c r="O340" s="894"/>
    </row>
    <row r="341" spans="2:15" ht="10.5" customHeight="1">
      <c r="B341" s="893"/>
      <c r="C341" s="893"/>
      <c r="D341" s="893"/>
      <c r="E341" s="894"/>
      <c r="F341" s="899"/>
      <c r="G341" s="899"/>
      <c r="H341" s="899"/>
      <c r="I341" s="935"/>
      <c r="J341" s="894"/>
      <c r="K341" s="894"/>
      <c r="L341" s="894"/>
      <c r="M341" s="894"/>
      <c r="N341" s="894"/>
      <c r="O341" s="894"/>
    </row>
    <row r="342" spans="2:15" ht="10.5" customHeight="1">
      <c r="B342" s="893"/>
      <c r="C342" s="893"/>
      <c r="D342" s="893"/>
      <c r="E342" s="894"/>
      <c r="F342" s="899"/>
      <c r="G342" s="899"/>
      <c r="H342" s="899"/>
      <c r="I342" s="935"/>
      <c r="J342" s="894"/>
      <c r="K342" s="894"/>
      <c r="L342" s="894"/>
      <c r="M342" s="894"/>
      <c r="N342" s="894"/>
      <c r="O342" s="894"/>
    </row>
    <row r="343" spans="2:15" ht="10.5" customHeight="1">
      <c r="B343" s="893"/>
      <c r="C343" s="893"/>
      <c r="D343" s="893"/>
      <c r="E343" s="894"/>
      <c r="F343" s="899"/>
      <c r="G343" s="899"/>
      <c r="H343" s="899"/>
      <c r="I343" s="935"/>
      <c r="J343" s="894"/>
      <c r="K343" s="894"/>
      <c r="L343" s="894"/>
      <c r="M343" s="894"/>
      <c r="N343" s="894"/>
      <c r="O343" s="894"/>
    </row>
    <row r="344" spans="2:15" ht="10.5" customHeight="1">
      <c r="B344" s="893"/>
      <c r="C344" s="893"/>
      <c r="D344" s="893"/>
      <c r="E344" s="894"/>
      <c r="F344" s="899"/>
      <c r="G344" s="899"/>
      <c r="H344" s="899"/>
      <c r="I344" s="935"/>
      <c r="J344" s="894"/>
      <c r="K344" s="894"/>
      <c r="L344" s="894"/>
      <c r="M344" s="894"/>
      <c r="N344" s="894"/>
      <c r="O344" s="894"/>
    </row>
    <row r="345" spans="2:15" ht="10.5" customHeight="1">
      <c r="B345" s="893"/>
      <c r="C345" s="893"/>
      <c r="D345" s="893"/>
      <c r="E345" s="894"/>
      <c r="F345" s="899"/>
      <c r="G345" s="899"/>
      <c r="H345" s="899"/>
      <c r="I345" s="935"/>
      <c r="J345" s="894"/>
      <c r="K345" s="894"/>
      <c r="L345" s="894"/>
      <c r="M345" s="894"/>
      <c r="N345" s="894"/>
      <c r="O345" s="894"/>
    </row>
    <row r="346" spans="2:15" ht="10.5" customHeight="1">
      <c r="B346" s="893"/>
      <c r="C346" s="893"/>
      <c r="D346" s="893"/>
      <c r="E346" s="894"/>
      <c r="F346" s="899"/>
      <c r="G346" s="899"/>
      <c r="H346" s="899"/>
      <c r="I346" s="935"/>
      <c r="J346" s="894"/>
      <c r="K346" s="894"/>
      <c r="L346" s="894"/>
      <c r="M346" s="894"/>
      <c r="N346" s="894"/>
      <c r="O346" s="894"/>
    </row>
    <row r="347" spans="2:15" ht="10.5" customHeight="1">
      <c r="B347" s="893"/>
      <c r="C347" s="893"/>
      <c r="D347" s="893"/>
      <c r="E347" s="894"/>
      <c r="F347" s="899"/>
      <c r="G347" s="899"/>
      <c r="H347" s="899"/>
      <c r="I347" s="935"/>
      <c r="J347" s="894"/>
      <c r="K347" s="894"/>
      <c r="L347" s="894"/>
      <c r="M347" s="894"/>
      <c r="N347" s="894"/>
      <c r="O347" s="894"/>
    </row>
    <row r="348" spans="2:15" ht="10.5" customHeight="1">
      <c r="B348" s="893"/>
      <c r="C348" s="893"/>
      <c r="D348" s="893"/>
      <c r="E348" s="894"/>
      <c r="F348" s="899"/>
      <c r="G348" s="899"/>
      <c r="H348" s="899"/>
      <c r="I348" s="935"/>
      <c r="J348" s="894"/>
      <c r="K348" s="894"/>
      <c r="L348" s="894"/>
      <c r="M348" s="894"/>
      <c r="N348" s="894"/>
      <c r="O348" s="894"/>
    </row>
    <row r="349" spans="2:15" ht="10.5" customHeight="1">
      <c r="B349" s="893"/>
      <c r="C349" s="893"/>
      <c r="D349" s="893"/>
      <c r="E349" s="894"/>
      <c r="F349" s="899"/>
      <c r="G349" s="899"/>
      <c r="H349" s="899"/>
      <c r="I349" s="935"/>
      <c r="J349" s="894"/>
      <c r="K349" s="894"/>
      <c r="L349" s="894"/>
      <c r="M349" s="894"/>
      <c r="N349" s="894"/>
      <c r="O349" s="894"/>
    </row>
    <row r="350" spans="2:15" ht="10.5" customHeight="1">
      <c r="B350" s="893"/>
      <c r="C350" s="893"/>
      <c r="D350" s="893"/>
      <c r="E350" s="894"/>
      <c r="F350" s="899"/>
      <c r="G350" s="899"/>
      <c r="H350" s="899"/>
      <c r="I350" s="935"/>
      <c r="J350" s="894"/>
      <c r="K350" s="894"/>
      <c r="L350" s="894"/>
      <c r="M350" s="894"/>
      <c r="N350" s="894"/>
      <c r="O350" s="894"/>
    </row>
    <row r="351" spans="2:15" ht="10.5" customHeight="1">
      <c r="B351" s="893"/>
      <c r="C351" s="893"/>
      <c r="D351" s="893"/>
      <c r="E351" s="894"/>
      <c r="F351" s="899"/>
      <c r="G351" s="899"/>
      <c r="H351" s="899"/>
      <c r="I351" s="935"/>
      <c r="J351" s="894"/>
      <c r="K351" s="894"/>
      <c r="L351" s="894"/>
      <c r="M351" s="894"/>
      <c r="N351" s="894"/>
      <c r="O351" s="894"/>
    </row>
    <row r="352" spans="2:15" ht="10.5" customHeight="1">
      <c r="B352" s="893"/>
      <c r="C352" s="893"/>
      <c r="D352" s="893"/>
      <c r="E352" s="894"/>
      <c r="F352" s="899"/>
      <c r="G352" s="899"/>
      <c r="H352" s="899"/>
      <c r="I352" s="935"/>
      <c r="J352" s="894"/>
      <c r="K352" s="894"/>
      <c r="L352" s="894"/>
      <c r="M352" s="894"/>
      <c r="N352" s="894"/>
      <c r="O352" s="894"/>
    </row>
    <row r="353" spans="2:15" ht="10.5" customHeight="1">
      <c r="B353" s="893"/>
      <c r="C353" s="893"/>
      <c r="D353" s="893"/>
      <c r="E353" s="894"/>
      <c r="F353" s="899"/>
      <c r="G353" s="899"/>
      <c r="H353" s="899"/>
      <c r="I353" s="935"/>
      <c r="J353" s="894"/>
      <c r="K353" s="894"/>
      <c r="L353" s="894"/>
      <c r="M353" s="894"/>
      <c r="N353" s="894"/>
      <c r="O353" s="894"/>
    </row>
    <row r="354" spans="2:15" ht="10.5" customHeight="1">
      <c r="B354" s="893"/>
      <c r="C354" s="893"/>
      <c r="D354" s="893"/>
      <c r="E354" s="894"/>
      <c r="F354" s="899"/>
      <c r="G354" s="899"/>
      <c r="H354" s="899"/>
      <c r="I354" s="935"/>
      <c r="J354" s="894"/>
      <c r="K354" s="894"/>
      <c r="L354" s="894"/>
      <c r="M354" s="894"/>
      <c r="N354" s="894"/>
      <c r="O354" s="894"/>
    </row>
    <row r="355" spans="2:15" ht="10.5" customHeight="1">
      <c r="B355" s="893"/>
      <c r="C355" s="893"/>
      <c r="D355" s="893"/>
      <c r="E355" s="894"/>
      <c r="F355" s="899"/>
      <c r="G355" s="899"/>
      <c r="H355" s="899"/>
      <c r="I355" s="935"/>
      <c r="J355" s="894"/>
      <c r="K355" s="894"/>
      <c r="L355" s="894"/>
      <c r="M355" s="894"/>
      <c r="N355" s="894"/>
      <c r="O355" s="894"/>
    </row>
    <row r="356" spans="2:15" ht="10.5" customHeight="1">
      <c r="B356" s="893"/>
      <c r="C356" s="893"/>
      <c r="D356" s="893"/>
      <c r="E356" s="894"/>
      <c r="F356" s="899"/>
      <c r="G356" s="899"/>
      <c r="H356" s="899"/>
      <c r="I356" s="935"/>
      <c r="J356" s="894"/>
      <c r="K356" s="894"/>
      <c r="L356" s="894"/>
      <c r="M356" s="894"/>
      <c r="N356" s="894"/>
      <c r="O356" s="894"/>
    </row>
    <row r="357" spans="2:15" ht="10.5" customHeight="1">
      <c r="B357" s="893"/>
      <c r="C357" s="893"/>
      <c r="D357" s="893"/>
      <c r="E357" s="894"/>
      <c r="F357" s="899"/>
      <c r="G357" s="899"/>
      <c r="H357" s="899"/>
      <c r="I357" s="935"/>
      <c r="J357" s="894"/>
      <c r="K357" s="894"/>
      <c r="L357" s="894"/>
      <c r="M357" s="894"/>
      <c r="N357" s="894"/>
      <c r="O357" s="894"/>
    </row>
    <row r="358" spans="2:15" ht="10.5" customHeight="1">
      <c r="B358" s="893"/>
      <c r="C358" s="893"/>
      <c r="D358" s="893"/>
      <c r="E358" s="894"/>
      <c r="F358" s="899"/>
      <c r="G358" s="899"/>
      <c r="H358" s="899"/>
      <c r="I358" s="935"/>
      <c r="J358" s="894"/>
      <c r="K358" s="894"/>
      <c r="L358" s="894"/>
      <c r="M358" s="894"/>
      <c r="N358" s="894"/>
      <c r="O358" s="894"/>
    </row>
    <row r="359" spans="2:15" ht="10.5" customHeight="1">
      <c r="B359" s="893"/>
      <c r="C359" s="893"/>
      <c r="D359" s="893"/>
      <c r="E359" s="894"/>
      <c r="F359" s="899"/>
      <c r="G359" s="899"/>
      <c r="H359" s="899"/>
      <c r="I359" s="935"/>
      <c r="J359" s="894"/>
      <c r="K359" s="894"/>
      <c r="L359" s="894"/>
      <c r="M359" s="894"/>
      <c r="N359" s="894"/>
      <c r="O359" s="894"/>
    </row>
    <row r="360" spans="2:15" ht="10.5" customHeight="1">
      <c r="B360" s="893"/>
      <c r="C360" s="893"/>
      <c r="D360" s="893"/>
      <c r="E360" s="894"/>
      <c r="F360" s="899"/>
      <c r="G360" s="899"/>
      <c r="H360" s="899"/>
      <c r="I360" s="935"/>
      <c r="J360" s="894"/>
      <c r="K360" s="894"/>
      <c r="L360" s="894"/>
      <c r="M360" s="894"/>
      <c r="N360" s="894"/>
      <c r="O360" s="894"/>
    </row>
    <row r="361" spans="2:15" ht="10.5" customHeight="1">
      <c r="B361" s="893"/>
      <c r="C361" s="893"/>
      <c r="D361" s="893"/>
      <c r="E361" s="894"/>
      <c r="F361" s="899"/>
      <c r="G361" s="899"/>
      <c r="H361" s="899"/>
      <c r="I361" s="935"/>
      <c r="J361" s="894"/>
      <c r="K361" s="894"/>
      <c r="L361" s="894"/>
      <c r="M361" s="894"/>
      <c r="N361" s="894"/>
      <c r="O361" s="894"/>
    </row>
    <row r="362" spans="2:15" ht="10.5" customHeight="1">
      <c r="B362" s="893"/>
      <c r="C362" s="893"/>
      <c r="D362" s="893"/>
      <c r="E362" s="894"/>
      <c r="F362" s="899"/>
      <c r="G362" s="899"/>
      <c r="H362" s="899"/>
      <c r="I362" s="935"/>
      <c r="J362" s="894"/>
      <c r="K362" s="894"/>
      <c r="L362" s="894"/>
      <c r="M362" s="894"/>
      <c r="N362" s="894"/>
      <c r="O362" s="894"/>
    </row>
    <row r="363" spans="2:15" ht="10.5" customHeight="1">
      <c r="B363" s="893"/>
      <c r="C363" s="893"/>
      <c r="D363" s="893"/>
      <c r="E363" s="894"/>
      <c r="F363" s="899"/>
      <c r="G363" s="899"/>
      <c r="H363" s="899"/>
      <c r="I363" s="935"/>
      <c r="J363" s="894"/>
      <c r="K363" s="894"/>
      <c r="L363" s="894"/>
      <c r="M363" s="894"/>
      <c r="N363" s="894"/>
      <c r="O363" s="894"/>
    </row>
    <row r="364" spans="2:15" ht="10.5" customHeight="1">
      <c r="B364" s="893"/>
      <c r="C364" s="893"/>
      <c r="D364" s="893"/>
      <c r="E364" s="894"/>
      <c r="F364" s="899"/>
      <c r="G364" s="899"/>
      <c r="H364" s="899"/>
      <c r="I364" s="935"/>
      <c r="J364" s="894"/>
      <c r="K364" s="894"/>
      <c r="L364" s="894"/>
      <c r="M364" s="894"/>
      <c r="N364" s="894"/>
      <c r="O364" s="894"/>
    </row>
    <row r="365" spans="2:15" ht="10.5" customHeight="1">
      <c r="B365" s="893"/>
      <c r="C365" s="893"/>
      <c r="D365" s="893"/>
      <c r="E365" s="894"/>
      <c r="F365" s="899"/>
      <c r="G365" s="899"/>
      <c r="H365" s="899"/>
      <c r="I365" s="935"/>
      <c r="J365" s="894"/>
      <c r="K365" s="894"/>
      <c r="L365" s="894"/>
      <c r="M365" s="894"/>
      <c r="N365" s="894"/>
      <c r="O365" s="894"/>
    </row>
    <row r="366" spans="2:15" ht="10.5" customHeight="1">
      <c r="B366" s="893"/>
      <c r="C366" s="893"/>
      <c r="D366" s="893"/>
      <c r="E366" s="894"/>
      <c r="F366" s="899"/>
      <c r="G366" s="899"/>
      <c r="H366" s="899"/>
      <c r="I366" s="935"/>
      <c r="J366" s="894"/>
      <c r="K366" s="894"/>
      <c r="L366" s="894"/>
      <c r="M366" s="894"/>
      <c r="N366" s="894"/>
      <c r="O366" s="894"/>
    </row>
    <row r="367" spans="2:15" ht="10.5" customHeight="1">
      <c r="B367" s="893"/>
      <c r="C367" s="893"/>
      <c r="D367" s="893"/>
      <c r="E367" s="894"/>
      <c r="F367" s="899"/>
      <c r="G367" s="899"/>
      <c r="H367" s="899"/>
      <c r="I367" s="935"/>
      <c r="J367" s="894"/>
      <c r="K367" s="894"/>
      <c r="L367" s="894"/>
      <c r="M367" s="894"/>
      <c r="N367" s="894"/>
      <c r="O367" s="894"/>
    </row>
    <row r="368" spans="2:15" ht="10.5" customHeight="1">
      <c r="B368" s="893"/>
      <c r="C368" s="893"/>
      <c r="D368" s="893"/>
      <c r="E368" s="894"/>
      <c r="F368" s="899"/>
      <c r="G368" s="899"/>
      <c r="H368" s="899"/>
      <c r="I368" s="935"/>
      <c r="J368" s="894"/>
      <c r="K368" s="894"/>
      <c r="L368" s="894"/>
      <c r="M368" s="894"/>
      <c r="N368" s="894"/>
      <c r="O368" s="894"/>
    </row>
    <row r="369" spans="2:15" ht="10.5" customHeight="1">
      <c r="B369" s="893"/>
      <c r="C369" s="893"/>
      <c r="D369" s="893"/>
      <c r="E369" s="894"/>
      <c r="F369" s="899"/>
      <c r="G369" s="899"/>
      <c r="H369" s="899"/>
      <c r="I369" s="935"/>
      <c r="J369" s="894"/>
      <c r="K369" s="894"/>
      <c r="L369" s="894"/>
      <c r="M369" s="894"/>
      <c r="N369" s="894"/>
      <c r="O369" s="894"/>
    </row>
    <row r="370" spans="2:15" ht="10.5" customHeight="1">
      <c r="B370" s="893"/>
      <c r="C370" s="893"/>
      <c r="D370" s="893"/>
      <c r="E370" s="894"/>
      <c r="F370" s="899"/>
      <c r="G370" s="899"/>
      <c r="H370" s="899"/>
      <c r="I370" s="935"/>
      <c r="J370" s="894"/>
      <c r="K370" s="894"/>
      <c r="L370" s="894"/>
      <c r="M370" s="894"/>
      <c r="N370" s="894"/>
      <c r="O370" s="894"/>
    </row>
    <row r="371" spans="2:15" ht="10.5" customHeight="1">
      <c r="B371" s="893"/>
      <c r="C371" s="893"/>
      <c r="D371" s="893"/>
      <c r="E371" s="894"/>
      <c r="F371" s="899"/>
      <c r="G371" s="899"/>
      <c r="H371" s="899"/>
      <c r="I371" s="935"/>
      <c r="J371" s="894"/>
      <c r="K371" s="894"/>
      <c r="L371" s="894"/>
      <c r="M371" s="894"/>
      <c r="N371" s="894"/>
      <c r="O371" s="894"/>
    </row>
    <row r="372" spans="2:15" ht="10.5" customHeight="1">
      <c r="B372" s="893"/>
      <c r="C372" s="893"/>
      <c r="D372" s="893"/>
      <c r="E372" s="894"/>
      <c r="F372" s="899"/>
      <c r="G372" s="899"/>
      <c r="H372" s="899"/>
      <c r="I372" s="935"/>
      <c r="J372" s="894"/>
      <c r="K372" s="894"/>
      <c r="L372" s="894"/>
      <c r="M372" s="894"/>
      <c r="N372" s="894"/>
      <c r="O372" s="894"/>
    </row>
    <row r="373" spans="2:15" ht="10.5" customHeight="1">
      <c r="B373" s="893"/>
      <c r="C373" s="893"/>
      <c r="D373" s="893"/>
      <c r="E373" s="894"/>
      <c r="F373" s="899"/>
      <c r="G373" s="899"/>
      <c r="H373" s="899"/>
      <c r="I373" s="935"/>
      <c r="J373" s="894"/>
      <c r="K373" s="894"/>
      <c r="L373" s="894"/>
      <c r="M373" s="894"/>
      <c r="N373" s="894"/>
      <c r="O373" s="894"/>
    </row>
    <row r="374" spans="2:15" ht="10.5" customHeight="1">
      <c r="B374" s="893"/>
      <c r="C374" s="893"/>
      <c r="D374" s="893"/>
      <c r="E374" s="894"/>
      <c r="F374" s="899"/>
      <c r="G374" s="899"/>
      <c r="H374" s="899"/>
      <c r="I374" s="935"/>
      <c r="J374" s="894"/>
      <c r="K374" s="894"/>
      <c r="L374" s="894"/>
      <c r="M374" s="894"/>
      <c r="N374" s="894"/>
      <c r="O374" s="894"/>
    </row>
    <row r="375" spans="2:15" ht="10.5" customHeight="1">
      <c r="B375" s="893"/>
      <c r="C375" s="893"/>
      <c r="D375" s="893"/>
      <c r="E375" s="894"/>
      <c r="F375" s="899"/>
      <c r="G375" s="899"/>
      <c r="H375" s="899"/>
      <c r="I375" s="935"/>
      <c r="J375" s="894"/>
      <c r="K375" s="894"/>
      <c r="L375" s="894"/>
      <c r="M375" s="894"/>
      <c r="N375" s="894"/>
      <c r="O375" s="894"/>
    </row>
    <row r="376" spans="2:15" ht="10.5" customHeight="1">
      <c r="B376" s="893"/>
      <c r="C376" s="893"/>
      <c r="D376" s="893"/>
      <c r="E376" s="894"/>
      <c r="F376" s="899"/>
      <c r="G376" s="899"/>
      <c r="H376" s="899"/>
      <c r="I376" s="935"/>
      <c r="J376" s="894"/>
      <c r="K376" s="894"/>
      <c r="L376" s="894"/>
      <c r="M376" s="894"/>
      <c r="N376" s="894"/>
      <c r="O376" s="894"/>
    </row>
    <row r="377" spans="2:15" ht="10.5" customHeight="1">
      <c r="B377" s="893"/>
      <c r="C377" s="893"/>
      <c r="D377" s="893"/>
      <c r="E377" s="894"/>
      <c r="F377" s="899"/>
      <c r="G377" s="899"/>
      <c r="H377" s="899"/>
      <c r="I377" s="935"/>
      <c r="J377" s="894"/>
      <c r="K377" s="894"/>
      <c r="L377" s="894"/>
      <c r="M377" s="894"/>
      <c r="N377" s="894"/>
      <c r="O377" s="894"/>
    </row>
    <row r="378" spans="2:15" ht="10.5" customHeight="1">
      <c r="B378" s="893"/>
      <c r="C378" s="893"/>
      <c r="D378" s="893"/>
      <c r="E378" s="894"/>
      <c r="F378" s="899"/>
      <c r="G378" s="899"/>
      <c r="H378" s="899"/>
      <c r="I378" s="935"/>
      <c r="J378" s="894"/>
      <c r="K378" s="894"/>
      <c r="L378" s="894"/>
      <c r="M378" s="894"/>
      <c r="N378" s="894"/>
      <c r="O378" s="894"/>
    </row>
    <row r="379" spans="2:15" ht="10.5" customHeight="1">
      <c r="B379" s="893"/>
      <c r="C379" s="893"/>
      <c r="D379" s="893"/>
      <c r="E379" s="894"/>
      <c r="F379" s="899"/>
      <c r="G379" s="899"/>
      <c r="H379" s="899"/>
      <c r="I379" s="935"/>
      <c r="J379" s="894"/>
      <c r="K379" s="894"/>
      <c r="L379" s="894"/>
      <c r="M379" s="894"/>
      <c r="N379" s="894"/>
      <c r="O379" s="894"/>
    </row>
    <row r="380" spans="2:15" ht="10.5" customHeight="1">
      <c r="B380" s="893"/>
      <c r="C380" s="893"/>
      <c r="D380" s="893"/>
      <c r="E380" s="894"/>
      <c r="F380" s="899"/>
      <c r="G380" s="899"/>
      <c r="H380" s="899"/>
      <c r="I380" s="935"/>
      <c r="J380" s="894"/>
      <c r="K380" s="894"/>
      <c r="L380" s="894"/>
      <c r="M380" s="894"/>
      <c r="N380" s="894"/>
      <c r="O380" s="894"/>
    </row>
    <row r="381" spans="2:15" ht="10.5" customHeight="1">
      <c r="B381" s="893"/>
      <c r="C381" s="893"/>
      <c r="D381" s="893"/>
      <c r="E381" s="894"/>
      <c r="F381" s="899"/>
      <c r="G381" s="899"/>
      <c r="H381" s="899"/>
      <c r="I381" s="935"/>
      <c r="J381" s="894"/>
      <c r="K381" s="894"/>
      <c r="L381" s="894"/>
      <c r="M381" s="894"/>
      <c r="N381" s="894"/>
      <c r="O381" s="894"/>
    </row>
    <row r="382" spans="2:15" ht="10.5" customHeight="1">
      <c r="B382" s="893"/>
      <c r="C382" s="893"/>
      <c r="D382" s="893"/>
      <c r="E382" s="894"/>
      <c r="F382" s="899"/>
      <c r="G382" s="899"/>
      <c r="H382" s="899"/>
      <c r="I382" s="935"/>
      <c r="J382" s="894"/>
      <c r="K382" s="894"/>
      <c r="L382" s="894"/>
      <c r="M382" s="894"/>
      <c r="N382" s="894"/>
      <c r="O382" s="894"/>
    </row>
    <row r="383" spans="2:15" ht="10.5" customHeight="1">
      <c r="B383" s="893"/>
      <c r="C383" s="893"/>
      <c r="D383" s="893"/>
      <c r="E383" s="894"/>
      <c r="F383" s="899"/>
      <c r="G383" s="899"/>
      <c r="H383" s="899"/>
      <c r="I383" s="935"/>
      <c r="J383" s="894"/>
      <c r="K383" s="894"/>
      <c r="L383" s="894"/>
      <c r="M383" s="894"/>
      <c r="N383" s="894"/>
      <c r="O383" s="894"/>
    </row>
    <row r="384" spans="2:15" ht="10.5" customHeight="1">
      <c r="B384" s="893"/>
      <c r="C384" s="893"/>
      <c r="D384" s="893"/>
      <c r="E384" s="894"/>
      <c r="F384" s="899"/>
      <c r="G384" s="899"/>
      <c r="H384" s="899"/>
      <c r="I384" s="935"/>
      <c r="J384" s="894"/>
      <c r="K384" s="894"/>
      <c r="L384" s="894"/>
      <c r="M384" s="894"/>
      <c r="N384" s="894"/>
      <c r="O384" s="894"/>
    </row>
    <row r="385" spans="2:15" ht="10.5" customHeight="1">
      <c r="B385" s="893"/>
      <c r="C385" s="893"/>
      <c r="D385" s="893"/>
      <c r="E385" s="894"/>
      <c r="F385" s="899"/>
      <c r="G385" s="899"/>
      <c r="H385" s="899"/>
      <c r="I385" s="935"/>
      <c r="J385" s="894"/>
      <c r="K385" s="894"/>
      <c r="L385" s="894"/>
      <c r="M385" s="894"/>
      <c r="N385" s="894"/>
      <c r="O385" s="894"/>
    </row>
    <row r="386" spans="2:15" ht="10.5" customHeight="1">
      <c r="B386" s="893"/>
      <c r="C386" s="893"/>
      <c r="D386" s="893"/>
      <c r="E386" s="894"/>
      <c r="F386" s="899"/>
      <c r="G386" s="899"/>
      <c r="H386" s="899"/>
      <c r="I386" s="935"/>
      <c r="J386" s="894"/>
      <c r="K386" s="894"/>
      <c r="L386" s="894"/>
      <c r="M386" s="894"/>
      <c r="N386" s="894"/>
      <c r="O386" s="894"/>
    </row>
    <row r="387" spans="2:15" ht="10.5" customHeight="1">
      <c r="B387" s="893"/>
      <c r="C387" s="893"/>
      <c r="D387" s="893"/>
      <c r="E387" s="894"/>
      <c r="F387" s="899"/>
      <c r="G387" s="899"/>
      <c r="H387" s="899"/>
      <c r="I387" s="935"/>
      <c r="J387" s="894"/>
      <c r="K387" s="894"/>
      <c r="L387" s="894"/>
      <c r="M387" s="894"/>
      <c r="N387" s="894"/>
      <c r="O387" s="894"/>
    </row>
    <row r="388" spans="2:15" ht="10.5" customHeight="1">
      <c r="B388" s="893"/>
      <c r="C388" s="893"/>
      <c r="D388" s="893"/>
      <c r="E388" s="894"/>
      <c r="F388" s="899"/>
      <c r="G388" s="899"/>
      <c r="H388" s="899"/>
      <c r="I388" s="935"/>
      <c r="J388" s="894"/>
      <c r="K388" s="894"/>
      <c r="L388" s="894"/>
      <c r="M388" s="894"/>
      <c r="N388" s="894"/>
      <c r="O388" s="894"/>
    </row>
    <row r="389" spans="2:15" ht="10.5" customHeight="1">
      <c r="B389" s="893"/>
      <c r="C389" s="893"/>
      <c r="D389" s="893"/>
      <c r="E389" s="894"/>
      <c r="F389" s="899"/>
      <c r="G389" s="899"/>
      <c r="H389" s="899"/>
      <c r="I389" s="935"/>
      <c r="J389" s="894"/>
      <c r="K389" s="894"/>
      <c r="L389" s="894"/>
      <c r="M389" s="894"/>
      <c r="N389" s="894"/>
      <c r="O389" s="894"/>
    </row>
    <row r="390" spans="2:15" ht="10.5" customHeight="1">
      <c r="B390" s="893"/>
      <c r="C390" s="893"/>
      <c r="D390" s="893"/>
      <c r="E390" s="894"/>
      <c r="F390" s="899"/>
      <c r="G390" s="899"/>
      <c r="H390" s="899"/>
      <c r="I390" s="935"/>
      <c r="J390" s="894"/>
      <c r="K390" s="894"/>
      <c r="L390" s="894"/>
      <c r="M390" s="894"/>
      <c r="N390" s="894"/>
      <c r="O390" s="894"/>
    </row>
    <row r="391" spans="1:11" ht="15.75">
      <c r="A391" s="877">
        <f>PPE1!A8+1</f>
        <v>32</v>
      </c>
      <c r="B391" s="880" t="s">
        <v>814</v>
      </c>
      <c r="C391" s="880"/>
      <c r="I391" s="892"/>
      <c r="J391" s="889"/>
      <c r="K391" s="889"/>
    </row>
    <row r="392" spans="2:11" ht="12" customHeight="1">
      <c r="B392" s="880"/>
      <c r="C392" s="880"/>
      <c r="I392" s="892"/>
      <c r="J392" s="889"/>
      <c r="K392" s="889"/>
    </row>
    <row r="393" spans="2:16" ht="15.75">
      <c r="B393" s="894" t="s">
        <v>1131</v>
      </c>
      <c r="C393" s="894"/>
      <c r="D393" s="894"/>
      <c r="E393" s="894"/>
      <c r="F393" s="802">
        <f>199893866.05/1000</f>
        <v>199893.86605</v>
      </c>
      <c r="H393" s="802">
        <v>327286.06325</v>
      </c>
      <c r="I393" s="903"/>
      <c r="J393" s="907"/>
      <c r="K393" s="907"/>
      <c r="L393" s="894"/>
      <c r="M393" s="894"/>
      <c r="N393" s="802"/>
      <c r="O393" s="879"/>
      <c r="P393" s="802"/>
    </row>
    <row r="394" spans="2:16" ht="15.75">
      <c r="B394" s="897" t="s">
        <v>815</v>
      </c>
      <c r="C394" s="897"/>
      <c r="D394" s="897"/>
      <c r="E394" s="897"/>
      <c r="F394" s="802">
        <f>(130055122.91+93082848.05)/1000</f>
        <v>223137.97095999998</v>
      </c>
      <c r="H394" s="802">
        <f>69576+278793+18913</f>
        <v>367282</v>
      </c>
      <c r="I394" s="892"/>
      <c r="J394" s="826"/>
      <c r="K394" s="897"/>
      <c r="L394" s="897"/>
      <c r="M394" s="897"/>
      <c r="N394" s="802"/>
      <c r="O394" s="879"/>
      <c r="P394" s="802"/>
    </row>
    <row r="395" spans="2:11" ht="16.5" thickBot="1">
      <c r="B395" s="897"/>
      <c r="C395" s="897"/>
      <c r="F395" s="890">
        <f>SUM(F393:F394)</f>
        <v>423031.83701</v>
      </c>
      <c r="G395" s="885"/>
      <c r="H395" s="890">
        <f>SUM(H393:H394)</f>
        <v>694568.06325</v>
      </c>
      <c r="I395" s="892"/>
      <c r="J395" s="892"/>
      <c r="K395" s="892"/>
    </row>
    <row r="396" ht="8.25" customHeight="1" thickTop="1">
      <c r="I396" s="892"/>
    </row>
    <row r="397" spans="1:15" ht="15.75">
      <c r="A397" s="985" t="s">
        <v>2478</v>
      </c>
      <c r="B397" s="894"/>
      <c r="C397" s="894"/>
      <c r="D397" s="894"/>
      <c r="E397" s="894"/>
      <c r="F397" s="895"/>
      <c r="G397" s="896"/>
      <c r="H397" s="895"/>
      <c r="I397" s="894"/>
      <c r="J397" s="894"/>
      <c r="K397" s="894"/>
      <c r="L397" s="894"/>
      <c r="M397" s="894"/>
      <c r="N397" s="894"/>
      <c r="O397" s="894"/>
    </row>
    <row r="398" spans="1:15" ht="15.75">
      <c r="A398" s="985"/>
      <c r="B398" s="894"/>
      <c r="C398" s="894"/>
      <c r="D398" s="894"/>
      <c r="E398" s="894"/>
      <c r="F398" s="895"/>
      <c r="G398" s="896"/>
      <c r="H398" s="895"/>
      <c r="I398" s="894"/>
      <c r="J398" s="894"/>
      <c r="K398" s="894"/>
      <c r="L398" s="894"/>
      <c r="M398" s="894"/>
      <c r="N398" s="894"/>
      <c r="O398" s="894"/>
    </row>
    <row r="399" spans="1:15" ht="15.75">
      <c r="A399" s="877">
        <f>A391+1</f>
        <v>33</v>
      </c>
      <c r="B399" s="893" t="s">
        <v>1056</v>
      </c>
      <c r="C399" s="893"/>
      <c r="D399" s="893"/>
      <c r="E399" s="894"/>
      <c r="F399" s="895"/>
      <c r="G399" s="896"/>
      <c r="H399" s="895"/>
      <c r="I399" s="894"/>
      <c r="J399" s="922"/>
      <c r="K399" s="894"/>
      <c r="L399" s="894"/>
      <c r="M399" s="894"/>
      <c r="N399" s="894"/>
      <c r="O399" s="894"/>
    </row>
    <row r="400" spans="2:15" ht="15.75">
      <c r="B400" s="893"/>
      <c r="C400" s="893"/>
      <c r="D400" s="893"/>
      <c r="E400" s="894"/>
      <c r="F400" s="895"/>
      <c r="G400" s="896"/>
      <c r="H400" s="895"/>
      <c r="I400" s="894"/>
      <c r="J400" s="922"/>
      <c r="K400" s="894"/>
      <c r="L400" s="894"/>
      <c r="M400" s="894"/>
      <c r="N400" s="894"/>
      <c r="O400" s="894"/>
    </row>
    <row r="401" spans="2:15" ht="15.75">
      <c r="B401" s="894" t="s">
        <v>1787</v>
      </c>
      <c r="C401" s="894"/>
      <c r="D401" s="894"/>
      <c r="E401" s="894"/>
      <c r="F401" s="802">
        <f>(343500547+103376195.6)/1000</f>
        <v>446876.7426</v>
      </c>
      <c r="H401" s="802">
        <v>74481</v>
      </c>
      <c r="I401" s="903"/>
      <c r="J401" s="907"/>
      <c r="K401" s="922"/>
      <c r="L401" s="894"/>
      <c r="M401" s="894"/>
      <c r="N401" s="894"/>
      <c r="O401" s="894"/>
    </row>
    <row r="402" spans="2:15" ht="15.75">
      <c r="B402" s="894" t="s">
        <v>1788</v>
      </c>
      <c r="C402" s="894"/>
      <c r="D402" s="894"/>
      <c r="E402" s="894"/>
      <c r="F402" s="802">
        <f>(17127720+4868618.92)/1000</f>
        <v>21996.338920000002</v>
      </c>
      <c r="H402" s="802">
        <v>18941.5</v>
      </c>
      <c r="I402" s="903"/>
      <c r="J402" s="894"/>
      <c r="K402" s="894"/>
      <c r="L402" s="894"/>
      <c r="M402" s="894"/>
      <c r="N402" s="894"/>
      <c r="O402" s="894"/>
    </row>
    <row r="403" spans="2:15" ht="15.75">
      <c r="B403" s="894" t="s">
        <v>1775</v>
      </c>
      <c r="C403" s="894"/>
      <c r="D403" s="898"/>
      <c r="E403" s="894"/>
      <c r="F403" s="802">
        <f>1365+39699</f>
        <v>41064</v>
      </c>
      <c r="H403" s="802">
        <v>8587</v>
      </c>
      <c r="I403" s="903"/>
      <c r="J403" s="894"/>
      <c r="K403" s="895"/>
      <c r="L403" s="894"/>
      <c r="M403" s="894"/>
      <c r="N403" s="894"/>
      <c r="O403" s="894"/>
    </row>
    <row r="404" spans="2:15" ht="15.75">
      <c r="B404" s="894" t="s">
        <v>1776</v>
      </c>
      <c r="C404" s="894"/>
      <c r="D404" s="894"/>
      <c r="E404" s="894"/>
      <c r="F404" s="802">
        <v>41250</v>
      </c>
      <c r="H404" s="802">
        <v>31754</v>
      </c>
      <c r="I404" s="903"/>
      <c r="J404" s="894"/>
      <c r="K404" s="894"/>
      <c r="L404" s="894"/>
      <c r="M404" s="894"/>
      <c r="N404" s="894"/>
      <c r="O404" s="894"/>
    </row>
    <row r="405" spans="2:15" ht="15.75">
      <c r="B405" s="894" t="s">
        <v>1777</v>
      </c>
      <c r="C405" s="894"/>
      <c r="D405" s="894"/>
      <c r="E405" s="894"/>
      <c r="F405" s="802">
        <f>36396070/1000</f>
        <v>36396.07</v>
      </c>
      <c r="H405" s="802">
        <v>2074</v>
      </c>
      <c r="I405" s="903"/>
      <c r="J405" s="894"/>
      <c r="K405" s="898"/>
      <c r="L405" s="894"/>
      <c r="M405" s="894"/>
      <c r="N405" s="894"/>
      <c r="O405" s="894"/>
    </row>
    <row r="406" spans="2:15" ht="16.5" thickBot="1">
      <c r="B406" s="893"/>
      <c r="C406" s="893"/>
      <c r="D406" s="893"/>
      <c r="E406" s="893"/>
      <c r="F406" s="923">
        <f>SUM(F401:F405)</f>
        <v>587583.15152</v>
      </c>
      <c r="G406" s="899"/>
      <c r="H406" s="923">
        <f>SUM(H401:H405)</f>
        <v>135837.5</v>
      </c>
      <c r="I406" s="935"/>
      <c r="J406" s="913"/>
      <c r="K406" s="893"/>
      <c r="L406" s="893"/>
      <c r="M406" s="893"/>
      <c r="N406" s="893"/>
      <c r="O406" s="893"/>
    </row>
    <row r="407" spans="2:15" ht="16.5" thickTop="1">
      <c r="B407" s="893"/>
      <c r="C407" s="893"/>
      <c r="D407" s="940"/>
      <c r="E407" s="893"/>
      <c r="F407" s="899"/>
      <c r="G407" s="899"/>
      <c r="H407" s="899"/>
      <c r="I407" s="935"/>
      <c r="J407" s="913"/>
      <c r="K407" s="893"/>
      <c r="L407" s="893"/>
      <c r="M407" s="893"/>
      <c r="N407" s="893"/>
      <c r="O407" s="893"/>
    </row>
    <row r="408" spans="2:15" ht="15.75">
      <c r="B408" s="893" t="s">
        <v>1778</v>
      </c>
      <c r="C408" s="893"/>
      <c r="D408" s="893"/>
      <c r="E408" s="894"/>
      <c r="F408" s="895"/>
      <c r="G408" s="896"/>
      <c r="H408" s="895"/>
      <c r="I408" s="894"/>
      <c r="J408" s="894"/>
      <c r="K408" s="894"/>
      <c r="L408" s="894"/>
      <c r="M408" s="894"/>
      <c r="N408" s="894"/>
      <c r="O408" s="894"/>
    </row>
    <row r="409" spans="2:15" ht="15.75">
      <c r="B409" s="894" t="s">
        <v>1786</v>
      </c>
      <c r="C409" s="893"/>
      <c r="D409" s="893"/>
      <c r="E409" s="894"/>
      <c r="F409" s="802">
        <f>222964.5477+103376.1956</f>
        <v>326340.7433</v>
      </c>
      <c r="H409" s="802">
        <v>80163.5</v>
      </c>
      <c r="I409" s="903"/>
      <c r="J409" s="898"/>
      <c r="K409" s="922"/>
      <c r="L409" s="894">
        <v>36396070</v>
      </c>
      <c r="M409" s="894"/>
      <c r="N409" s="894"/>
      <c r="O409" s="894"/>
    </row>
    <row r="410" spans="2:15" ht="15.75">
      <c r="B410" s="894" t="s">
        <v>1785</v>
      </c>
      <c r="C410" s="893"/>
      <c r="D410" s="893"/>
      <c r="E410" s="894"/>
      <c r="F410" s="802">
        <f>125404+130970+4868.3</f>
        <v>261242.3</v>
      </c>
      <c r="H410" s="802">
        <v>55674</v>
      </c>
      <c r="I410" s="903"/>
      <c r="J410" s="898"/>
      <c r="K410" s="922"/>
      <c r="L410" s="894"/>
      <c r="M410" s="894"/>
      <c r="N410" s="894"/>
      <c r="O410" s="894"/>
    </row>
    <row r="411" spans="2:15" ht="16.5" thickBot="1">
      <c r="B411" s="893"/>
      <c r="C411" s="893"/>
      <c r="D411" s="893"/>
      <c r="E411" s="893"/>
      <c r="F411" s="923">
        <f>SUM(F409:F410)</f>
        <v>587583.0433</v>
      </c>
      <c r="G411" s="899"/>
      <c r="H411" s="923">
        <f>SUM(H409:H410)</f>
        <v>135837.5</v>
      </c>
      <c r="I411" s="893"/>
      <c r="J411" s="913"/>
      <c r="K411" s="940"/>
      <c r="L411" s="893"/>
      <c r="M411" s="893"/>
      <c r="N411" s="893"/>
      <c r="O411" s="893"/>
    </row>
    <row r="412" spans="1:15" ht="16.5" thickTop="1">
      <c r="A412" s="985" t="s">
        <v>2479</v>
      </c>
      <c r="B412" s="893"/>
      <c r="C412" s="893"/>
      <c r="D412" s="893"/>
      <c r="E412" s="893"/>
      <c r="F412" s="899"/>
      <c r="G412" s="899"/>
      <c r="H412" s="899"/>
      <c r="I412" s="893"/>
      <c r="J412" s="913"/>
      <c r="K412" s="893"/>
      <c r="L412" s="893"/>
      <c r="M412" s="893"/>
      <c r="N412" s="893"/>
      <c r="O412" s="893"/>
    </row>
    <row r="413" spans="1:15" ht="15.75">
      <c r="A413" s="985"/>
      <c r="B413" s="893"/>
      <c r="C413" s="893"/>
      <c r="D413" s="893"/>
      <c r="E413" s="893"/>
      <c r="F413" s="899"/>
      <c r="G413" s="899"/>
      <c r="H413" s="899"/>
      <c r="I413" s="893"/>
      <c r="J413" s="913"/>
      <c r="K413" s="893"/>
      <c r="L413" s="893"/>
      <c r="M413" s="893"/>
      <c r="N413" s="893"/>
      <c r="O413" s="893"/>
    </row>
    <row r="414" spans="1:10" s="880" customFormat="1" ht="15.75">
      <c r="A414" s="877">
        <f>A399+1</f>
        <v>34</v>
      </c>
      <c r="B414" s="880" t="s">
        <v>817</v>
      </c>
      <c r="F414" s="884"/>
      <c r="G414" s="885"/>
      <c r="H414" s="884"/>
      <c r="I414" s="927"/>
      <c r="J414" s="941"/>
    </row>
    <row r="415" spans="1:9" s="880" customFormat="1" ht="15.75">
      <c r="A415" s="877"/>
      <c r="F415" s="884"/>
      <c r="G415" s="885"/>
      <c r="H415" s="884"/>
      <c r="I415" s="927"/>
    </row>
    <row r="416" spans="1:9" s="880" customFormat="1" ht="15.75">
      <c r="A416" s="915"/>
      <c r="B416" s="880" t="s">
        <v>809</v>
      </c>
      <c r="F416" s="884"/>
      <c r="G416" s="885"/>
      <c r="H416" s="884"/>
      <c r="I416" s="927"/>
    </row>
    <row r="417" spans="2:9" ht="15.75">
      <c r="B417" s="878" t="s">
        <v>813</v>
      </c>
      <c r="I417" s="888"/>
    </row>
    <row r="418" spans="2:9" ht="15.75">
      <c r="B418" s="900" t="s">
        <v>881</v>
      </c>
      <c r="C418" s="919"/>
      <c r="D418" s="919"/>
      <c r="I418" s="888"/>
    </row>
    <row r="419" spans="2:9" ht="15.75">
      <c r="B419" s="897" t="s">
        <v>411</v>
      </c>
      <c r="C419" s="826"/>
      <c r="F419" s="802">
        <f>H423</f>
        <v>25499200.8925</v>
      </c>
      <c r="H419" s="802">
        <v>21405929.39105</v>
      </c>
      <c r="I419" s="888"/>
    </row>
    <row r="420" spans="2:9" ht="15.75">
      <c r="B420" s="897" t="s">
        <v>879</v>
      </c>
      <c r="C420" s="826"/>
      <c r="F420" s="802">
        <f>PPE1!E27</f>
        <v>5228243.92867</v>
      </c>
      <c r="H420" s="802">
        <v>3660943.33177</v>
      </c>
      <c r="I420" s="888"/>
    </row>
    <row r="421" spans="2:9" ht="15.75">
      <c r="B421" s="897" t="s">
        <v>521</v>
      </c>
      <c r="C421" s="826"/>
      <c r="F421" s="802">
        <f>Capex!L26</f>
        <v>226312.59343</v>
      </c>
      <c r="H421" s="802">
        <v>575692.1577000001</v>
      </c>
      <c r="I421" s="888"/>
    </row>
    <row r="422" spans="2:9" ht="15.75">
      <c r="B422" s="897" t="s">
        <v>2081</v>
      </c>
      <c r="C422" s="826"/>
      <c r="F422" s="802">
        <v>-575692.4</v>
      </c>
      <c r="H422" s="802">
        <v>-143363.98802</v>
      </c>
      <c r="I422" s="888"/>
    </row>
    <row r="423" spans="2:11" ht="16.5" thickBot="1">
      <c r="B423" s="897" t="s">
        <v>412</v>
      </c>
      <c r="C423" s="919"/>
      <c r="F423" s="890">
        <f>SUM(F419:F422)</f>
        <v>30378065.0146</v>
      </c>
      <c r="G423" s="890">
        <f>SUM(G419:G420)</f>
        <v>0</v>
      </c>
      <c r="H423" s="890">
        <f>SUM(H419:H422)</f>
        <v>25499200.8925</v>
      </c>
      <c r="I423" s="919"/>
      <c r="K423" s="892"/>
    </row>
    <row r="424" spans="2:9" ht="16.5" thickTop="1">
      <c r="B424" s="883"/>
      <c r="C424" s="919"/>
      <c r="I424" s="888"/>
    </row>
    <row r="425" spans="2:9" ht="15.75">
      <c r="B425" s="900" t="s">
        <v>1234</v>
      </c>
      <c r="C425" s="897"/>
      <c r="I425" s="888"/>
    </row>
    <row r="426" spans="2:11" ht="15.75">
      <c r="B426" s="897" t="s">
        <v>411</v>
      </c>
      <c r="C426" s="826"/>
      <c r="F426" s="802">
        <f>H429</f>
        <v>7707474.554529266</v>
      </c>
      <c r="H426" s="802">
        <v>6330287.7398533</v>
      </c>
      <c r="I426" s="888"/>
      <c r="J426" s="892"/>
      <c r="K426" s="892"/>
    </row>
    <row r="427" spans="2:9" ht="15.75">
      <c r="B427" s="897" t="s">
        <v>880</v>
      </c>
      <c r="C427" s="826"/>
      <c r="F427" s="802">
        <f>PPE1!Q27</f>
        <v>2406803.881294061</v>
      </c>
      <c r="H427" s="802">
        <v>1377186.8146759667</v>
      </c>
      <c r="I427" s="888"/>
    </row>
    <row r="428" spans="2:9" ht="15.75">
      <c r="B428" s="897" t="s">
        <v>2491</v>
      </c>
      <c r="C428" s="826"/>
      <c r="F428" s="802">
        <f>PPE1!U27</f>
        <v>0</v>
      </c>
      <c r="I428" s="888"/>
    </row>
    <row r="429" spans="2:9" ht="16.5" thickBot="1">
      <c r="B429" s="897" t="s">
        <v>412</v>
      </c>
      <c r="C429" s="919"/>
      <c r="F429" s="890">
        <f>SUM(F426:F428)</f>
        <v>10114278.435823327</v>
      </c>
      <c r="G429" s="885"/>
      <c r="H429" s="890">
        <f>SUM(H426:H427)</f>
        <v>7707474.554529266</v>
      </c>
      <c r="I429" s="919"/>
    </row>
    <row r="430" spans="1:11" s="897" customFormat="1" ht="25.5" customHeight="1" thickBot="1" thickTop="1">
      <c r="A430" s="942"/>
      <c r="B430" s="883" t="s">
        <v>706</v>
      </c>
      <c r="C430" s="919"/>
      <c r="F430" s="943">
        <f>F423-F429</f>
        <v>20263786.578776672</v>
      </c>
      <c r="G430" s="885"/>
      <c r="H430" s="943">
        <f>H423-H429</f>
        <v>17791726.337970734</v>
      </c>
      <c r="I430" s="826"/>
      <c r="K430" s="924"/>
    </row>
    <row r="431" spans="1:9" s="897" customFormat="1" ht="16.5" thickTop="1">
      <c r="A431" s="942"/>
      <c r="C431" s="891"/>
      <c r="F431" s="885"/>
      <c r="G431" s="885"/>
      <c r="H431" s="885"/>
      <c r="I431" s="891"/>
    </row>
    <row r="432" spans="2:9" ht="15.75">
      <c r="B432" s="897"/>
      <c r="C432" s="891"/>
      <c r="F432" s="885"/>
      <c r="G432" s="885"/>
      <c r="H432" s="885"/>
      <c r="I432" s="891"/>
    </row>
    <row r="433" spans="2:9" ht="15.75">
      <c r="B433" s="897"/>
      <c r="C433" s="891"/>
      <c r="F433" s="885"/>
      <c r="G433" s="885"/>
      <c r="H433" s="885"/>
      <c r="I433" s="891"/>
    </row>
  </sheetData>
  <sheetProtection/>
  <printOptions/>
  <pageMargins left="0.44" right="0.32" top="0.48" bottom="0.68" header="0.47" footer="0.28"/>
  <pageSetup firstPageNumber="35" useFirstPageNumber="1" fitToHeight="0" horizontalDpi="600" verticalDpi="600" orientation="portrait" paperSize="9" r:id="rId3"/>
  <headerFooter alignWithMargins="0">
    <oddFooter>&amp;R&amp;P</oddFooter>
  </headerFooter>
  <legacyDrawing r:id="rId2"/>
</worksheet>
</file>

<file path=xl/worksheets/sheet19.xml><?xml version="1.0" encoding="utf-8"?>
<worksheet xmlns="http://schemas.openxmlformats.org/spreadsheetml/2006/main" xmlns:r="http://schemas.openxmlformats.org/officeDocument/2006/relationships">
  <dimension ref="A1:X59"/>
  <sheetViews>
    <sheetView zoomScalePageLayoutView="0" workbookViewId="0" topLeftCell="A7">
      <selection activeCell="E26" sqref="E26"/>
    </sheetView>
  </sheetViews>
  <sheetFormatPr defaultColWidth="9.00390625" defaultRowHeight="15.75"/>
  <cols>
    <col min="1" max="1" width="4.50390625" style="418" customWidth="1"/>
    <col min="2" max="2" width="67.75390625" style="418" customWidth="1"/>
    <col min="3" max="3" width="16.875" style="418" customWidth="1"/>
    <col min="4" max="4" width="0.875" style="418" customWidth="1"/>
    <col min="5" max="5" width="16.375" style="418" bestFit="1" customWidth="1"/>
    <col min="6" max="6" width="0.875" style="418" customWidth="1"/>
    <col min="7" max="7" width="12.25390625" style="418" customWidth="1"/>
    <col min="8" max="8" width="0.875" style="418" customWidth="1"/>
    <col min="9" max="9" width="11.75390625" style="418" customWidth="1"/>
    <col min="10" max="10" width="1.00390625" style="418" customWidth="1"/>
    <col min="11" max="11" width="11.75390625" style="418" bestFit="1" customWidth="1"/>
    <col min="12" max="12" width="1.12109375" style="418" customWidth="1"/>
    <col min="13" max="13" width="10.375" style="418" bestFit="1" customWidth="1"/>
    <col min="14" max="14" width="1.00390625" style="418" customWidth="1"/>
    <col min="15" max="15" width="12.625" style="418" bestFit="1" customWidth="1"/>
    <col min="16" max="16" width="1.00390625" style="418" customWidth="1"/>
    <col min="17" max="17" width="12.00390625" style="418" customWidth="1"/>
    <col min="18" max="18" width="1.00390625" style="418" customWidth="1"/>
    <col min="19" max="19" width="10.25390625" style="418" customWidth="1"/>
    <col min="20" max="20" width="0.6171875" style="418" customWidth="1"/>
    <col min="21" max="21" width="12.00390625" style="418" customWidth="1"/>
    <col min="22" max="22" width="1.12109375" style="418" customWidth="1"/>
    <col min="23" max="23" width="13.00390625" style="418" customWidth="1"/>
    <col min="24" max="24" width="1.12109375" style="418" customWidth="1"/>
    <col min="25" max="16384" width="9.00390625" style="418" customWidth="1"/>
  </cols>
  <sheetData>
    <row r="1" ht="15.75">
      <c r="A1" s="413" t="str">
        <f>Notes!A1</f>
        <v>THE UNITED REPUBLIC OF TANZANIA</v>
      </c>
    </row>
    <row r="2" ht="15.75">
      <c r="A2" s="413" t="str">
        <f>Notes!A2</f>
        <v>PRRESIDENT’S OFFICE - REGIONAL ADMINISTRATION AND LOCAL GOVERNMENT</v>
      </c>
    </row>
    <row r="3" ht="15.75">
      <c r="A3" s="413" t="str">
        <f>Notes!A3</f>
        <v>BABATI DISTRICT COUNCIL</v>
      </c>
    </row>
    <row r="4" ht="15.75">
      <c r="A4" s="413"/>
    </row>
    <row r="5" ht="15.75">
      <c r="A5" s="413" t="str">
        <f>Notes!A5</f>
        <v>NOTES TO THE FINANCIAL STATEMENTS (Continued)</v>
      </c>
    </row>
    <row r="6" ht="15.75">
      <c r="A6" s="413" t="str">
        <f>Notes!A6</f>
        <v>FOR THE YEAR ENDED 30 JUNE 2016</v>
      </c>
    </row>
    <row r="8" spans="1:4" ht="15.75">
      <c r="A8" s="478">
        <f>PPE1!A8</f>
        <v>31</v>
      </c>
      <c r="B8" s="413" t="s">
        <v>257</v>
      </c>
      <c r="C8" s="413"/>
      <c r="D8" s="413"/>
    </row>
    <row r="9" s="451" customFormat="1" ht="15.75">
      <c r="A9" s="454"/>
    </row>
    <row r="10" spans="1:2" s="451" customFormat="1" ht="15.75">
      <c r="A10" s="454"/>
      <c r="B10" s="451" t="s">
        <v>258</v>
      </c>
    </row>
    <row r="11" spans="2:24" ht="15.75">
      <c r="B11" s="413"/>
      <c r="C11" s="413"/>
      <c r="D11" s="413"/>
      <c r="E11" s="423"/>
      <c r="F11" s="423"/>
      <c r="G11" s="423"/>
      <c r="H11" s="423"/>
      <c r="I11" s="423"/>
      <c r="J11" s="423"/>
      <c r="K11" s="423"/>
      <c r="L11" s="423"/>
      <c r="M11" s="423"/>
      <c r="N11" s="423"/>
      <c r="O11" s="423"/>
      <c r="P11" s="423"/>
      <c r="Q11" s="423"/>
      <c r="R11" s="423"/>
      <c r="S11" s="423"/>
      <c r="T11" s="423"/>
      <c r="V11" s="423"/>
      <c r="X11" s="423"/>
    </row>
    <row r="12" spans="2:24" ht="15.75">
      <c r="B12" s="413"/>
      <c r="C12" s="441" t="s">
        <v>881</v>
      </c>
      <c r="D12" s="417"/>
      <c r="E12" s="574" t="s">
        <v>810</v>
      </c>
      <c r="F12" s="423"/>
      <c r="G12" s="423"/>
      <c r="H12" s="423"/>
      <c r="I12" s="423"/>
      <c r="J12" s="423"/>
      <c r="K12" s="423"/>
      <c r="L12" s="423"/>
      <c r="M12" s="423"/>
      <c r="N12" s="423"/>
      <c r="O12" s="423"/>
      <c r="P12" s="423"/>
      <c r="Q12" s="423"/>
      <c r="R12" s="423"/>
      <c r="S12" s="423"/>
      <c r="T12" s="423"/>
      <c r="V12" s="423"/>
      <c r="X12" s="423"/>
    </row>
    <row r="13" spans="2:24" ht="15.75">
      <c r="B13" s="413"/>
      <c r="C13" s="417" t="s">
        <v>1202</v>
      </c>
      <c r="D13" s="417"/>
      <c r="E13" s="417" t="s">
        <v>1202</v>
      </c>
      <c r="F13" s="423"/>
      <c r="G13" s="423"/>
      <c r="H13" s="423"/>
      <c r="I13" s="423"/>
      <c r="J13" s="423"/>
      <c r="K13" s="423"/>
      <c r="L13" s="423"/>
      <c r="M13" s="423"/>
      <c r="N13" s="423"/>
      <c r="O13" s="423"/>
      <c r="P13" s="423"/>
      <c r="Q13" s="423"/>
      <c r="R13" s="423"/>
      <c r="S13" s="423"/>
      <c r="T13" s="423"/>
      <c r="V13" s="423"/>
      <c r="X13" s="423"/>
    </row>
    <row r="14" spans="2:24" ht="15.75">
      <c r="B14" s="489" t="s">
        <v>747</v>
      </c>
      <c r="C14" s="413"/>
      <c r="D14" s="413"/>
      <c r="E14" s="423"/>
      <c r="F14" s="423"/>
      <c r="G14" s="423"/>
      <c r="H14" s="423"/>
      <c r="I14" s="423"/>
      <c r="J14" s="423"/>
      <c r="K14" s="423"/>
      <c r="L14" s="423"/>
      <c r="M14" s="423"/>
      <c r="N14" s="423"/>
      <c r="O14" s="423"/>
      <c r="P14" s="423"/>
      <c r="Q14" s="423"/>
      <c r="R14" s="423"/>
      <c r="S14" s="423"/>
      <c r="T14" s="423"/>
      <c r="V14" s="423"/>
      <c r="X14" s="423"/>
    </row>
    <row r="15" spans="2:24" ht="15.75">
      <c r="B15" s="451" t="s">
        <v>1265</v>
      </c>
      <c r="C15" s="421">
        <v>0</v>
      </c>
      <c r="D15" s="421"/>
      <c r="E15" s="421">
        <v>0</v>
      </c>
      <c r="F15" s="421"/>
      <c r="G15" s="421"/>
      <c r="H15" s="423"/>
      <c r="I15" s="423"/>
      <c r="J15" s="423"/>
      <c r="K15" s="423"/>
      <c r="L15" s="423"/>
      <c r="M15" s="423"/>
      <c r="N15" s="423"/>
      <c r="O15" s="423"/>
      <c r="P15" s="423"/>
      <c r="Q15" s="423"/>
      <c r="R15" s="423"/>
      <c r="S15" s="423"/>
      <c r="T15" s="423"/>
      <c r="V15" s="423"/>
      <c r="X15" s="423"/>
    </row>
    <row r="16" spans="2:24" ht="15.75">
      <c r="B16" s="451" t="s">
        <v>1266</v>
      </c>
      <c r="C16" s="421">
        <v>0</v>
      </c>
      <c r="D16" s="421"/>
      <c r="E16" s="421">
        <v>0</v>
      </c>
      <c r="F16" s="421"/>
      <c r="G16" s="421"/>
      <c r="H16" s="423"/>
      <c r="I16" s="423"/>
      <c r="J16" s="423"/>
      <c r="K16" s="423"/>
      <c r="L16" s="423"/>
      <c r="M16" s="423"/>
      <c r="N16" s="423"/>
      <c r="O16" s="423"/>
      <c r="P16" s="423"/>
      <c r="Q16" s="423"/>
      <c r="R16" s="423"/>
      <c r="S16" s="423"/>
      <c r="T16" s="423"/>
      <c r="V16" s="423"/>
      <c r="X16" s="423"/>
    </row>
    <row r="17" spans="2:7" ht="15.75">
      <c r="B17" s="451" t="s">
        <v>7</v>
      </c>
      <c r="C17" s="421">
        <v>0</v>
      </c>
      <c r="D17" s="421"/>
      <c r="E17" s="421">
        <v>0</v>
      </c>
      <c r="F17" s="421"/>
      <c r="G17" s="421"/>
    </row>
    <row r="18" spans="2:7" ht="15.75">
      <c r="B18" s="694" t="s">
        <v>941</v>
      </c>
      <c r="C18" s="421">
        <v>0</v>
      </c>
      <c r="D18" s="421"/>
      <c r="E18" s="421">
        <v>0</v>
      </c>
      <c r="F18" s="421"/>
      <c r="G18" s="421"/>
    </row>
    <row r="19" spans="2:7" ht="15.75">
      <c r="B19" s="451" t="s">
        <v>8</v>
      </c>
      <c r="C19" s="421">
        <v>0</v>
      </c>
      <c r="D19" s="421"/>
      <c r="E19" s="421">
        <v>0</v>
      </c>
      <c r="F19" s="421"/>
      <c r="G19" s="421"/>
    </row>
    <row r="20" spans="2:18" ht="15.75">
      <c r="B20" s="451" t="s">
        <v>9</v>
      </c>
      <c r="C20" s="421">
        <v>0</v>
      </c>
      <c r="D20" s="421"/>
      <c r="E20" s="421">
        <v>0</v>
      </c>
      <c r="F20" s="421"/>
      <c r="G20" s="421"/>
      <c r="Q20" s="430"/>
      <c r="R20" s="430"/>
    </row>
    <row r="21" spans="2:7" ht="15.75">
      <c r="B21" s="451" t="s">
        <v>1117</v>
      </c>
      <c r="C21" s="421">
        <f>PPE1!M19</f>
        <v>0</v>
      </c>
      <c r="D21" s="421"/>
      <c r="E21" s="421">
        <v>0</v>
      </c>
      <c r="F21" s="421"/>
      <c r="G21" s="421"/>
    </row>
    <row r="22" spans="2:7" ht="16.5" thickBot="1">
      <c r="B22" s="466"/>
      <c r="C22" s="573">
        <f>SUM(C15:C21)</f>
        <v>0</v>
      </c>
      <c r="D22" s="421"/>
      <c r="E22" s="573">
        <f>SUM(E15:E21)</f>
        <v>0</v>
      </c>
      <c r="F22" s="421"/>
      <c r="G22" s="421"/>
    </row>
    <row r="23" spans="2:7" ht="16.5" thickTop="1">
      <c r="B23" s="490" t="s">
        <v>11</v>
      </c>
      <c r="C23" s="421"/>
      <c r="D23" s="421"/>
      <c r="E23" s="421"/>
      <c r="F23" s="421"/>
      <c r="G23" s="421"/>
    </row>
    <row r="24" spans="2:7" ht="15.75">
      <c r="B24" s="451" t="s">
        <v>1265</v>
      </c>
      <c r="C24" s="421">
        <v>0</v>
      </c>
      <c r="D24" s="421"/>
      <c r="E24" s="421">
        <v>0</v>
      </c>
      <c r="F24" s="421"/>
      <c r="G24" s="421"/>
    </row>
    <row r="25" spans="2:7" ht="15.75">
      <c r="B25" s="451" t="s">
        <v>1268</v>
      </c>
      <c r="C25" s="421">
        <v>0</v>
      </c>
      <c r="D25" s="421"/>
      <c r="E25" s="421">
        <v>0</v>
      </c>
      <c r="F25" s="421"/>
      <c r="G25" s="421"/>
    </row>
    <row r="26" spans="2:7" ht="15.75">
      <c r="B26" s="451" t="s">
        <v>1269</v>
      </c>
      <c r="C26" s="421">
        <v>0</v>
      </c>
      <c r="D26" s="421"/>
      <c r="E26" s="421">
        <v>0</v>
      </c>
      <c r="F26" s="421"/>
      <c r="G26" s="421"/>
    </row>
    <row r="27" spans="2:7" ht="15.75">
      <c r="B27" s="451" t="s">
        <v>1270</v>
      </c>
      <c r="C27" s="421">
        <v>0</v>
      </c>
      <c r="D27" s="421"/>
      <c r="E27" s="421">
        <v>0</v>
      </c>
      <c r="F27" s="421"/>
      <c r="G27" s="421"/>
    </row>
    <row r="28" spans="2:7" ht="15.75">
      <c r="B28" s="451" t="s">
        <v>1271</v>
      </c>
      <c r="C28" s="421">
        <v>0</v>
      </c>
      <c r="D28" s="421"/>
      <c r="E28" s="421">
        <v>0</v>
      </c>
      <c r="F28" s="421"/>
      <c r="G28" s="421"/>
    </row>
    <row r="29" spans="2:7" ht="15.75">
      <c r="B29" s="451" t="s">
        <v>1272</v>
      </c>
      <c r="C29" s="421">
        <v>0</v>
      </c>
      <c r="D29" s="421"/>
      <c r="E29" s="421">
        <v>0</v>
      </c>
      <c r="F29" s="421"/>
      <c r="G29" s="421"/>
    </row>
    <row r="30" spans="2:7" ht="15.75">
      <c r="B30" s="451" t="s">
        <v>1779</v>
      </c>
      <c r="C30" s="421">
        <v>0</v>
      </c>
      <c r="D30" s="421"/>
      <c r="E30" s="421">
        <v>0</v>
      </c>
      <c r="F30" s="421"/>
      <c r="G30" s="421"/>
    </row>
    <row r="31" spans="2:7" ht="15.75">
      <c r="B31" s="451" t="s">
        <v>10</v>
      </c>
      <c r="C31" s="421">
        <v>0</v>
      </c>
      <c r="D31" s="421"/>
      <c r="E31" s="421">
        <v>0</v>
      </c>
      <c r="F31" s="421"/>
      <c r="G31" s="421"/>
    </row>
    <row r="32" spans="2:7" ht="15.75">
      <c r="B32" s="451" t="s">
        <v>1117</v>
      </c>
      <c r="C32" s="421">
        <v>0</v>
      </c>
      <c r="D32" s="421"/>
      <c r="E32" s="421">
        <v>0</v>
      </c>
      <c r="F32" s="421"/>
      <c r="G32" s="421"/>
    </row>
    <row r="33" spans="3:7" ht="16.5" thickBot="1">
      <c r="C33" s="573">
        <f>SUM(C24:C32)</f>
        <v>0</v>
      </c>
      <c r="D33" s="421"/>
      <c r="E33" s="573">
        <f>SUM(E24:E32)</f>
        <v>0</v>
      </c>
      <c r="F33" s="421"/>
      <c r="G33" s="421"/>
    </row>
    <row r="34" spans="3:7" ht="16.5" thickTop="1">
      <c r="C34" s="421"/>
      <c r="D34" s="421"/>
      <c r="E34" s="421"/>
      <c r="F34" s="421"/>
      <c r="G34" s="421"/>
    </row>
    <row r="35" spans="3:7" ht="15.75">
      <c r="C35" s="421"/>
      <c r="D35" s="421"/>
      <c r="E35" s="421"/>
      <c r="F35" s="421"/>
      <c r="G35" s="421"/>
    </row>
    <row r="59" ht="15.75">
      <c r="U59" s="418">
        <f>PPE1!Y58+1</f>
        <v>1</v>
      </c>
    </row>
  </sheetData>
  <sheetProtection/>
  <printOptions/>
  <pageMargins left="0.49" right="0.39" top="0.42" bottom="0.9" header="0.41" footer="0.38"/>
  <pageSetup firstPageNumber="44" useFirstPageNumber="1" horizontalDpi="1200" verticalDpi="1200" orientation="landscape" paperSize="8" scale="90"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J2395"/>
  <sheetViews>
    <sheetView zoomScale="90" zoomScaleNormal="90" zoomScalePageLayoutView="0" workbookViewId="0" topLeftCell="A860">
      <selection activeCell="G865" sqref="G865"/>
    </sheetView>
  </sheetViews>
  <sheetFormatPr defaultColWidth="8.00390625" defaultRowHeight="15.75"/>
  <cols>
    <col min="1" max="1" width="8.00390625" style="164" customWidth="1"/>
    <col min="2" max="2" width="6.625" style="164" customWidth="1"/>
    <col min="3" max="3" width="8.00390625" style="164" customWidth="1"/>
    <col min="4" max="4" width="29.125" style="164" customWidth="1"/>
    <col min="5" max="5" width="12.125" style="164" customWidth="1"/>
    <col min="6" max="6" width="11.50390625" style="164" customWidth="1"/>
    <col min="7" max="7" width="20.875" style="164" customWidth="1"/>
    <col min="8" max="8" width="19.75390625" style="164" customWidth="1"/>
    <col min="9" max="9" width="16.25390625" style="164" customWidth="1"/>
    <col min="10" max="10" width="15.875" style="164" customWidth="1"/>
    <col min="11" max="16384" width="8.00390625" style="164" customWidth="1"/>
  </cols>
  <sheetData>
    <row r="1" spans="1:8" ht="22.5">
      <c r="A1" s="161" t="s">
        <v>1111</v>
      </c>
      <c r="B1" s="162"/>
      <c r="C1" s="163"/>
      <c r="D1" s="163"/>
      <c r="E1" s="163"/>
      <c r="F1" s="163"/>
      <c r="G1" s="163"/>
      <c r="H1" s="163"/>
    </row>
    <row r="2" spans="1:7" ht="12.75">
      <c r="A2" s="165"/>
      <c r="B2" s="166"/>
      <c r="C2" s="167"/>
      <c r="D2" s="167"/>
      <c r="E2" s="167"/>
      <c r="F2" s="167"/>
      <c r="G2" s="167"/>
    </row>
    <row r="3" spans="1:7" ht="15">
      <c r="A3" s="168" t="s">
        <v>650</v>
      </c>
      <c r="B3" s="169"/>
      <c r="C3" s="170"/>
      <c r="D3" s="171"/>
      <c r="E3" s="172"/>
      <c r="F3" s="172"/>
      <c r="G3" s="172"/>
    </row>
    <row r="4" spans="1:7" ht="12.75">
      <c r="A4" s="173"/>
      <c r="B4" s="173"/>
      <c r="C4" s="173"/>
      <c r="D4" s="165"/>
      <c r="E4" s="167"/>
      <c r="F4" s="167"/>
      <c r="G4" s="167"/>
    </row>
    <row r="5" spans="1:8" ht="12.75">
      <c r="A5" s="174" t="s">
        <v>1615</v>
      </c>
      <c r="B5" s="174" t="s">
        <v>1616</v>
      </c>
      <c r="C5" s="174" t="s">
        <v>1617</v>
      </c>
      <c r="D5" s="175" t="s">
        <v>1618</v>
      </c>
      <c r="E5" s="175"/>
      <c r="F5" s="175"/>
      <c r="G5" s="176"/>
      <c r="H5" s="176"/>
    </row>
    <row r="6" spans="1:8" ht="12.75">
      <c r="A6" s="173"/>
      <c r="B6" s="173"/>
      <c r="C6" s="174" t="s">
        <v>1619</v>
      </c>
      <c r="D6" s="167"/>
      <c r="E6" s="167"/>
      <c r="F6" s="167"/>
      <c r="G6" s="176" t="s">
        <v>1620</v>
      </c>
      <c r="H6" s="176" t="s">
        <v>1621</v>
      </c>
    </row>
    <row r="7" spans="1:8" ht="12.75">
      <c r="A7" s="173"/>
      <c r="B7" s="173"/>
      <c r="C7" s="174"/>
      <c r="D7" s="167"/>
      <c r="E7" s="177"/>
      <c r="F7" s="177"/>
      <c r="G7" s="178"/>
      <c r="H7" s="178"/>
    </row>
    <row r="8" spans="1:8" ht="12.75">
      <c r="A8" s="179" t="s">
        <v>1622</v>
      </c>
      <c r="B8" s="173"/>
      <c r="C8" s="174"/>
      <c r="D8" s="167" t="s">
        <v>1623</v>
      </c>
      <c r="E8" s="177"/>
      <c r="F8" s="177"/>
      <c r="G8" s="180">
        <v>276382037</v>
      </c>
      <c r="H8" s="180"/>
    </row>
    <row r="9" spans="1:8" ht="12.75">
      <c r="A9" s="179" t="s">
        <v>1624</v>
      </c>
      <c r="B9" s="173"/>
      <c r="C9" s="174"/>
      <c r="D9" s="167" t="s">
        <v>1625</v>
      </c>
      <c r="E9" s="177"/>
      <c r="F9" s="177"/>
      <c r="G9" s="180"/>
      <c r="H9" s="180">
        <v>61319506</v>
      </c>
    </row>
    <row r="10" spans="1:8" ht="12.75">
      <c r="A10" s="179" t="s">
        <v>1626</v>
      </c>
      <c r="B10" s="173"/>
      <c r="C10" s="174"/>
      <c r="D10" s="167" t="s">
        <v>1640</v>
      </c>
      <c r="E10" s="177"/>
      <c r="F10" s="177"/>
      <c r="G10" s="180">
        <v>1150320235</v>
      </c>
      <c r="H10" s="180"/>
    </row>
    <row r="11" spans="1:8" ht="12.75">
      <c r="A11" s="179" t="s">
        <v>1641</v>
      </c>
      <c r="B11" s="173"/>
      <c r="C11" s="174"/>
      <c r="D11" s="167" t="s">
        <v>1642</v>
      </c>
      <c r="E11" s="177"/>
      <c r="F11" s="177"/>
      <c r="G11" s="180"/>
      <c r="H11" s="180">
        <v>366425750</v>
      </c>
    </row>
    <row r="12" spans="1:8" ht="12.75">
      <c r="A12" s="179" t="s">
        <v>1643</v>
      </c>
      <c r="B12" s="173"/>
      <c r="C12" s="174"/>
      <c r="D12" s="167" t="s">
        <v>1644</v>
      </c>
      <c r="E12" s="177"/>
      <c r="F12" s="177"/>
      <c r="G12" s="180">
        <v>31152063481</v>
      </c>
      <c r="H12" s="180"/>
    </row>
    <row r="13" spans="1:8" ht="12.75">
      <c r="A13" s="179" t="s">
        <v>1645</v>
      </c>
      <c r="B13" s="173"/>
      <c r="C13" s="174"/>
      <c r="D13" s="167" t="s">
        <v>918</v>
      </c>
      <c r="E13" s="181"/>
      <c r="F13" s="177"/>
      <c r="G13" s="180"/>
      <c r="H13" s="182">
        <v>11182120418</v>
      </c>
    </row>
    <row r="14" spans="1:8" ht="12.75">
      <c r="A14" s="179" t="s">
        <v>923</v>
      </c>
      <c r="B14" s="173"/>
      <c r="C14" s="174"/>
      <c r="D14" s="167" t="s">
        <v>924</v>
      </c>
      <c r="E14" s="177"/>
      <c r="F14" s="177"/>
      <c r="G14" s="180">
        <v>2794598387</v>
      </c>
      <c r="H14" s="180"/>
    </row>
    <row r="15" spans="1:8" ht="12.75">
      <c r="A15" s="179" t="s">
        <v>925</v>
      </c>
      <c r="B15" s="173"/>
      <c r="C15" s="174"/>
      <c r="D15" s="167" t="s">
        <v>926</v>
      </c>
      <c r="E15" s="177"/>
      <c r="F15" s="177"/>
      <c r="G15" s="180"/>
      <c r="H15" s="180">
        <v>1942749810</v>
      </c>
    </row>
    <row r="16" spans="1:8" ht="12.75">
      <c r="A16" s="179" t="s">
        <v>927</v>
      </c>
      <c r="B16" s="173"/>
      <c r="C16" s="174"/>
      <c r="D16" s="167" t="s">
        <v>928</v>
      </c>
      <c r="E16" s="177"/>
      <c r="F16" s="177"/>
      <c r="G16" s="180">
        <v>873260339</v>
      </c>
      <c r="H16" s="180"/>
    </row>
    <row r="17" spans="1:8" ht="12.75">
      <c r="A17" s="179" t="s">
        <v>929</v>
      </c>
      <c r="B17" s="173"/>
      <c r="C17" s="174"/>
      <c r="D17" s="167" t="s">
        <v>930</v>
      </c>
      <c r="E17" s="177"/>
      <c r="F17" s="177"/>
      <c r="G17" s="180"/>
      <c r="H17" s="180">
        <v>665200101</v>
      </c>
    </row>
    <row r="18" spans="1:8" ht="12.75">
      <c r="A18" s="179" t="s">
        <v>931</v>
      </c>
      <c r="B18" s="173"/>
      <c r="C18" s="174"/>
      <c r="D18" s="183" t="s">
        <v>932</v>
      </c>
      <c r="E18" s="177"/>
      <c r="F18" s="177"/>
      <c r="G18" s="180">
        <v>646323418</v>
      </c>
      <c r="H18" s="180"/>
    </row>
    <row r="19" spans="1:8" ht="12.75">
      <c r="A19" s="179" t="s">
        <v>933</v>
      </c>
      <c r="B19" s="173"/>
      <c r="C19" s="174"/>
      <c r="D19" s="167" t="s">
        <v>934</v>
      </c>
      <c r="E19" s="177"/>
      <c r="F19" s="177"/>
      <c r="G19" s="180"/>
      <c r="H19" s="180">
        <v>664663555</v>
      </c>
    </row>
    <row r="20" spans="1:8" ht="12.75">
      <c r="A20" s="179" t="s">
        <v>1580</v>
      </c>
      <c r="B20" s="173"/>
      <c r="C20" s="174"/>
      <c r="D20" s="167" t="s">
        <v>1581</v>
      </c>
      <c r="E20" s="181"/>
      <c r="F20" s="177"/>
      <c r="G20" s="182">
        <v>4657729712</v>
      </c>
      <c r="H20" s="180"/>
    </row>
    <row r="21" spans="1:8" ht="12.75">
      <c r="A21" s="179" t="s">
        <v>1582</v>
      </c>
      <c r="B21" s="173"/>
      <c r="C21" s="174"/>
      <c r="D21" s="167" t="s">
        <v>1583</v>
      </c>
      <c r="E21" s="177"/>
      <c r="F21" s="177"/>
      <c r="G21" s="180">
        <v>420601175</v>
      </c>
      <c r="H21" s="180"/>
    </row>
    <row r="22" spans="1:8" ht="12.75">
      <c r="A22" s="179" t="s">
        <v>1584</v>
      </c>
      <c r="B22" s="173"/>
      <c r="C22" s="174"/>
      <c r="D22" s="165" t="s">
        <v>1585</v>
      </c>
      <c r="E22" s="177"/>
      <c r="G22" s="180">
        <f>108913437+77594331</f>
        <v>186507768</v>
      </c>
      <c r="H22" s="180"/>
    </row>
    <row r="23" spans="1:8" ht="12.75">
      <c r="A23" s="179" t="s">
        <v>1586</v>
      </c>
      <c r="B23" s="173"/>
      <c r="C23" s="174"/>
      <c r="D23" s="165" t="s">
        <v>1587</v>
      </c>
      <c r="E23" s="177"/>
      <c r="G23" s="180"/>
      <c r="H23" s="180">
        <f>80505038+77594231</f>
        <v>158099269</v>
      </c>
    </row>
    <row r="24" spans="1:8" ht="12.75">
      <c r="A24" s="179" t="s">
        <v>1588</v>
      </c>
      <c r="B24" s="173"/>
      <c r="C24" s="174"/>
      <c r="D24" s="165" t="s">
        <v>511</v>
      </c>
      <c r="E24" s="177"/>
      <c r="F24" s="177"/>
      <c r="G24" s="180"/>
      <c r="H24" s="180">
        <v>0</v>
      </c>
    </row>
    <row r="25" spans="1:8" ht="12.75">
      <c r="A25" s="179" t="s">
        <v>512</v>
      </c>
      <c r="B25" s="173"/>
      <c r="C25" s="174"/>
      <c r="D25" s="165" t="s">
        <v>513</v>
      </c>
      <c r="E25" s="177"/>
      <c r="F25" s="177"/>
      <c r="G25" s="180"/>
      <c r="H25" s="180">
        <v>0</v>
      </c>
    </row>
    <row r="26" spans="1:8" ht="12.75">
      <c r="A26" s="179" t="s">
        <v>514</v>
      </c>
      <c r="B26" s="173"/>
      <c r="C26" s="174"/>
      <c r="D26" s="165" t="s">
        <v>515</v>
      </c>
      <c r="E26" s="177"/>
      <c r="F26" s="177"/>
      <c r="G26" s="180"/>
      <c r="H26" s="180">
        <v>0</v>
      </c>
    </row>
    <row r="27" spans="1:8" ht="12.75">
      <c r="A27" s="179" t="s">
        <v>516</v>
      </c>
      <c r="B27" s="173"/>
      <c r="C27" s="174"/>
      <c r="D27" s="165" t="s">
        <v>517</v>
      </c>
      <c r="E27" s="177"/>
      <c r="F27" s="177"/>
      <c r="G27" s="180">
        <v>2838799511</v>
      </c>
      <c r="H27" s="180"/>
    </row>
    <row r="28" spans="1:8" ht="12.75">
      <c r="A28" s="179" t="s">
        <v>651</v>
      </c>
      <c r="B28" s="173"/>
      <c r="C28" s="174"/>
      <c r="D28" s="165" t="s">
        <v>652</v>
      </c>
      <c r="E28" s="177"/>
      <c r="F28" s="177"/>
      <c r="G28" s="180">
        <v>1138305933</v>
      </c>
      <c r="H28" s="180"/>
    </row>
    <row r="29" spans="1:8" ht="12.75">
      <c r="A29" s="179" t="s">
        <v>518</v>
      </c>
      <c r="B29" s="173"/>
      <c r="C29" s="174"/>
      <c r="D29" s="165" t="s">
        <v>519</v>
      </c>
      <c r="E29" s="177"/>
      <c r="F29" s="177"/>
      <c r="G29" s="180">
        <v>112993692</v>
      </c>
      <c r="H29" s="180"/>
    </row>
    <row r="30" spans="1:8" ht="12.75">
      <c r="A30" s="179" t="s">
        <v>520</v>
      </c>
      <c r="B30" s="173"/>
      <c r="C30" s="174"/>
      <c r="D30" s="165" t="s">
        <v>1663</v>
      </c>
      <c r="E30" s="177"/>
      <c r="F30" s="177"/>
      <c r="G30" s="180">
        <v>29083654</v>
      </c>
      <c r="H30" s="180"/>
    </row>
    <row r="31" spans="1:8" ht="12.75">
      <c r="A31" s="179" t="s">
        <v>1664</v>
      </c>
      <c r="B31" s="173"/>
      <c r="C31" s="174"/>
      <c r="D31" s="165" t="s">
        <v>1665</v>
      </c>
      <c r="E31" s="177"/>
      <c r="F31" s="177"/>
      <c r="G31" s="180">
        <v>15795766</v>
      </c>
      <c r="H31" s="180"/>
    </row>
    <row r="32" spans="1:8" ht="12.75">
      <c r="A32" s="179" t="s">
        <v>1666</v>
      </c>
      <c r="B32" s="173"/>
      <c r="C32" s="174"/>
      <c r="D32" s="165" t="s">
        <v>1667</v>
      </c>
      <c r="E32" s="177"/>
      <c r="F32" s="177"/>
      <c r="G32" s="180">
        <v>1624826500</v>
      </c>
      <c r="H32" s="180"/>
    </row>
    <row r="33" spans="1:8" ht="12.75">
      <c r="A33" s="179" t="s">
        <v>1668</v>
      </c>
      <c r="B33" s="173"/>
      <c r="C33" s="174"/>
      <c r="D33" s="165" t="s">
        <v>1669</v>
      </c>
      <c r="E33" s="177"/>
      <c r="F33" s="177"/>
      <c r="G33" s="180">
        <v>3551106</v>
      </c>
      <c r="H33" s="180"/>
    </row>
    <row r="34" spans="1:8" ht="12.75">
      <c r="A34" s="179" t="s">
        <v>1670</v>
      </c>
      <c r="B34" s="173"/>
      <c r="C34" s="174"/>
      <c r="D34" s="165" t="s">
        <v>1671</v>
      </c>
      <c r="E34" s="177"/>
      <c r="F34" s="177"/>
      <c r="G34" s="180">
        <v>29326260</v>
      </c>
      <c r="H34" s="180"/>
    </row>
    <row r="35" spans="1:8" ht="12.75">
      <c r="A35" s="179" t="s">
        <v>1840</v>
      </c>
      <c r="B35" s="173"/>
      <c r="C35" s="174"/>
      <c r="D35" s="165" t="s">
        <v>1841</v>
      </c>
      <c r="E35" s="177"/>
      <c r="F35" s="177"/>
      <c r="G35" s="180">
        <v>419870678</v>
      </c>
      <c r="H35" s="180"/>
    </row>
    <row r="36" spans="1:8" ht="12.75">
      <c r="A36" s="179" t="s">
        <v>1842</v>
      </c>
      <c r="B36" s="173"/>
      <c r="C36" s="174"/>
      <c r="D36" s="165" t="s">
        <v>1843</v>
      </c>
      <c r="E36" s="177"/>
      <c r="F36" s="177"/>
      <c r="G36" s="180">
        <v>174920928</v>
      </c>
      <c r="H36" s="180"/>
    </row>
    <row r="37" spans="1:8" ht="12.75">
      <c r="A37" s="179" t="s">
        <v>1844</v>
      </c>
      <c r="B37" s="173"/>
      <c r="C37" s="174"/>
      <c r="D37" s="165" t="s">
        <v>1845</v>
      </c>
      <c r="E37" s="177"/>
      <c r="F37" s="177"/>
      <c r="G37" s="180">
        <v>5938471293</v>
      </c>
      <c r="H37" s="180"/>
    </row>
    <row r="38" spans="1:8" ht="12.75">
      <c r="A38" s="179" t="s">
        <v>1846</v>
      </c>
      <c r="B38" s="173"/>
      <c r="C38" s="174"/>
      <c r="D38" s="165" t="s">
        <v>1847</v>
      </c>
      <c r="E38" s="177"/>
      <c r="F38" s="177"/>
      <c r="G38" s="180">
        <v>20631875</v>
      </c>
      <c r="H38" s="180"/>
    </row>
    <row r="39" spans="1:8" ht="12.75">
      <c r="A39" s="179" t="s">
        <v>1848</v>
      </c>
      <c r="B39" s="173"/>
      <c r="C39" s="174"/>
      <c r="D39" s="184" t="s">
        <v>1849</v>
      </c>
      <c r="E39" s="177"/>
      <c r="F39" s="177"/>
      <c r="G39" s="180">
        <v>132013350</v>
      </c>
      <c r="H39" s="180"/>
    </row>
    <row r="40" spans="1:8" ht="12.75">
      <c r="A40" s="179" t="s">
        <v>1850</v>
      </c>
      <c r="B40" s="173"/>
      <c r="C40" s="174"/>
      <c r="D40" s="184" t="s">
        <v>1851</v>
      </c>
      <c r="E40" s="177"/>
      <c r="F40" s="177"/>
      <c r="G40" s="180">
        <v>52821195</v>
      </c>
      <c r="H40" s="180"/>
    </row>
    <row r="41" spans="1:8" ht="12.75">
      <c r="A41" s="179" t="s">
        <v>1852</v>
      </c>
      <c r="B41" s="173"/>
      <c r="C41" s="174"/>
      <c r="D41" s="184" t="s">
        <v>1853</v>
      </c>
      <c r="E41" s="185"/>
      <c r="F41" s="185"/>
      <c r="G41" s="180">
        <v>34430185</v>
      </c>
      <c r="H41" s="180"/>
    </row>
    <row r="42" spans="1:8" ht="12.75">
      <c r="A42" s="179" t="s">
        <v>1854</v>
      </c>
      <c r="B42" s="173"/>
      <c r="C42" s="174"/>
      <c r="D42" s="184" t="s">
        <v>1855</v>
      </c>
      <c r="E42" s="185"/>
      <c r="F42" s="185"/>
      <c r="G42" s="180">
        <f>427652807-1192545.44</f>
        <v>426460261.56</v>
      </c>
      <c r="H42" s="180"/>
    </row>
    <row r="43" spans="1:8" ht="12.75">
      <c r="A43" s="179" t="s">
        <v>1856</v>
      </c>
      <c r="B43" s="173"/>
      <c r="C43" s="174"/>
      <c r="D43" s="165" t="s">
        <v>1857</v>
      </c>
      <c r="E43" s="185"/>
      <c r="F43" s="185"/>
      <c r="G43" s="180">
        <v>220595</v>
      </c>
      <c r="H43" s="180"/>
    </row>
    <row r="44" spans="1:8" ht="12.75">
      <c r="A44" s="179" t="s">
        <v>1858</v>
      </c>
      <c r="B44" s="173"/>
      <c r="C44" s="174"/>
      <c r="D44" s="165" t="s">
        <v>1916</v>
      </c>
      <c r="E44" s="185"/>
      <c r="F44" s="185"/>
      <c r="G44" s="180">
        <v>383028698</v>
      </c>
      <c r="H44" s="180"/>
    </row>
    <row r="45" spans="1:8" ht="12.75">
      <c r="A45" s="179" t="s">
        <v>1917</v>
      </c>
      <c r="B45" s="173"/>
      <c r="C45" s="174"/>
      <c r="D45" s="165" t="s">
        <v>1918</v>
      </c>
      <c r="E45" s="177"/>
      <c r="F45" s="177"/>
      <c r="H45" s="180">
        <v>198292148</v>
      </c>
    </row>
    <row r="46" spans="1:8" ht="12.75">
      <c r="A46" s="179" t="s">
        <v>1919</v>
      </c>
      <c r="B46" s="173"/>
      <c r="C46" s="174"/>
      <c r="D46" s="165" t="s">
        <v>1920</v>
      </c>
      <c r="E46" s="177"/>
      <c r="F46" s="177"/>
      <c r="G46" s="180">
        <v>2166235975</v>
      </c>
      <c r="H46" s="180"/>
    </row>
    <row r="47" spans="1:8" ht="12.75">
      <c r="A47" s="179" t="s">
        <v>1921</v>
      </c>
      <c r="B47" s="173"/>
      <c r="C47" s="173"/>
      <c r="D47" s="186" t="s">
        <v>1922</v>
      </c>
      <c r="E47" s="177"/>
      <c r="F47" s="177"/>
      <c r="G47" s="180"/>
      <c r="H47" s="180"/>
    </row>
    <row r="48" spans="1:8" ht="12.75">
      <c r="A48" s="179" t="s">
        <v>1921</v>
      </c>
      <c r="B48" s="173"/>
      <c r="C48" s="174"/>
      <c r="D48" s="165" t="s">
        <v>1923</v>
      </c>
      <c r="E48" s="177"/>
      <c r="F48" s="177"/>
      <c r="G48" s="180">
        <f>7194872.98+48024348.44</f>
        <v>55219221.42</v>
      </c>
      <c r="H48" s="180"/>
    </row>
    <row r="49" spans="1:8" ht="12.75">
      <c r="A49" s="179" t="s">
        <v>1921</v>
      </c>
      <c r="B49" s="173"/>
      <c r="C49" s="173"/>
      <c r="D49" s="165" t="s">
        <v>1924</v>
      </c>
      <c r="E49" s="177"/>
      <c r="F49" s="177"/>
      <c r="G49" s="180">
        <v>0</v>
      </c>
      <c r="H49" s="180"/>
    </row>
    <row r="50" spans="1:8" ht="12.75">
      <c r="A50" s="179" t="s">
        <v>1921</v>
      </c>
      <c r="B50" s="173"/>
      <c r="C50" s="173"/>
      <c r="D50" s="165" t="s">
        <v>1925</v>
      </c>
      <c r="E50" s="177"/>
      <c r="F50" s="177"/>
      <c r="G50" s="180">
        <v>3500000</v>
      </c>
      <c r="H50" s="180"/>
    </row>
    <row r="51" spans="1:8" ht="12.75">
      <c r="A51" s="179" t="s">
        <v>1921</v>
      </c>
      <c r="B51" s="173"/>
      <c r="C51" s="173"/>
      <c r="D51" s="165" t="s">
        <v>1926</v>
      </c>
      <c r="E51" s="177"/>
      <c r="F51" s="177"/>
      <c r="G51" s="180">
        <v>37085052</v>
      </c>
      <c r="H51" s="180"/>
    </row>
    <row r="52" spans="1:8" ht="12.75">
      <c r="A52" s="179" t="s">
        <v>1921</v>
      </c>
      <c r="B52" s="173"/>
      <c r="C52" s="173"/>
      <c r="D52" s="165" t="s">
        <v>1927</v>
      </c>
      <c r="E52" s="177"/>
      <c r="F52" s="177"/>
      <c r="G52" s="180">
        <v>9515367</v>
      </c>
      <c r="H52" s="180"/>
    </row>
    <row r="53" spans="1:8" ht="12.75">
      <c r="A53" s="179" t="s">
        <v>1921</v>
      </c>
      <c r="B53" s="173"/>
      <c r="C53" s="173"/>
      <c r="D53" s="165" t="s">
        <v>191</v>
      </c>
      <c r="E53" s="177"/>
      <c r="F53" s="177"/>
      <c r="G53" s="180"/>
      <c r="H53" s="180">
        <v>7199900</v>
      </c>
    </row>
    <row r="54" spans="1:8" ht="12.75">
      <c r="A54" s="179" t="s">
        <v>1921</v>
      </c>
      <c r="B54" s="173"/>
      <c r="C54" s="173"/>
      <c r="D54" s="165" t="s">
        <v>192</v>
      </c>
      <c r="E54" s="177"/>
      <c r="F54" s="177"/>
      <c r="G54" s="180">
        <v>54244285.36</v>
      </c>
      <c r="H54" s="180"/>
    </row>
    <row r="55" spans="1:8" ht="12.75">
      <c r="A55" s="179" t="s">
        <v>1921</v>
      </c>
      <c r="B55" s="173"/>
      <c r="C55" s="173"/>
      <c r="D55" s="165" t="s">
        <v>193</v>
      </c>
      <c r="E55" s="177"/>
      <c r="F55" s="177"/>
      <c r="G55" s="180"/>
      <c r="H55" s="180">
        <v>2740391</v>
      </c>
    </row>
    <row r="56" spans="1:8" ht="12.75">
      <c r="A56" s="179" t="s">
        <v>1921</v>
      </c>
      <c r="B56" s="173"/>
      <c r="C56" s="173"/>
      <c r="D56" s="165" t="s">
        <v>194</v>
      </c>
      <c r="E56" s="177"/>
      <c r="F56" s="177"/>
      <c r="G56" s="180">
        <v>0</v>
      </c>
      <c r="H56" s="180"/>
    </row>
    <row r="57" spans="1:8" ht="12.75">
      <c r="A57" s="179" t="s">
        <v>1921</v>
      </c>
      <c r="B57" s="173"/>
      <c r="C57" s="173"/>
      <c r="D57" s="165" t="s">
        <v>192</v>
      </c>
      <c r="E57" s="177"/>
      <c r="F57" s="177"/>
      <c r="G57" s="180">
        <v>0</v>
      </c>
      <c r="H57" s="180"/>
    </row>
    <row r="58" spans="1:8" ht="12.75">
      <c r="A58" s="179" t="s">
        <v>1921</v>
      </c>
      <c r="B58" s="173"/>
      <c r="C58" s="173"/>
      <c r="D58" s="165" t="s">
        <v>195</v>
      </c>
      <c r="E58" s="177"/>
      <c r="F58" s="177"/>
      <c r="G58" s="180">
        <v>0</v>
      </c>
      <c r="H58" s="180"/>
    </row>
    <row r="59" spans="1:8" ht="12.75">
      <c r="A59" s="179" t="s">
        <v>1921</v>
      </c>
      <c r="B59" s="173"/>
      <c r="C59" s="173"/>
      <c r="D59" s="165" t="s">
        <v>196</v>
      </c>
      <c r="E59" s="177"/>
      <c r="F59" s="177"/>
      <c r="G59" s="180"/>
      <c r="H59" s="180">
        <v>1799112917.11</v>
      </c>
    </row>
    <row r="60" spans="1:8" ht="12.75">
      <c r="A60" s="179" t="s">
        <v>1921</v>
      </c>
      <c r="B60" s="173"/>
      <c r="C60" s="173"/>
      <c r="D60" s="165" t="s">
        <v>192</v>
      </c>
      <c r="E60" s="177"/>
      <c r="F60" s="177"/>
      <c r="G60" s="180">
        <v>0</v>
      </c>
      <c r="H60" s="180"/>
    </row>
    <row r="61" spans="1:8" ht="12.75">
      <c r="A61" s="179" t="s">
        <v>1921</v>
      </c>
      <c r="B61" s="173"/>
      <c r="C61" s="173"/>
      <c r="D61" s="165" t="s">
        <v>1445</v>
      </c>
      <c r="E61" s="177"/>
      <c r="F61" s="177"/>
      <c r="G61" s="180">
        <v>13047070</v>
      </c>
      <c r="H61" s="180"/>
    </row>
    <row r="62" spans="1:8" ht="12.75">
      <c r="A62" s="179" t="s">
        <v>1921</v>
      </c>
      <c r="B62" s="173"/>
      <c r="C62" s="173"/>
      <c r="D62" s="165" t="s">
        <v>1926</v>
      </c>
      <c r="E62" s="177"/>
      <c r="F62" s="177"/>
      <c r="G62" s="180">
        <v>0</v>
      </c>
      <c r="H62" s="180"/>
    </row>
    <row r="63" spans="1:8" ht="12.75">
      <c r="A63" s="179" t="s">
        <v>1921</v>
      </c>
      <c r="B63" s="173"/>
      <c r="C63" s="173"/>
      <c r="D63" s="165" t="s">
        <v>1446</v>
      </c>
      <c r="E63" s="177"/>
      <c r="F63" s="177"/>
      <c r="G63" s="180"/>
      <c r="H63" s="180">
        <v>52734.08</v>
      </c>
    </row>
    <row r="64" spans="1:8" ht="12.75">
      <c r="A64" s="179" t="s">
        <v>1921</v>
      </c>
      <c r="B64" s="173"/>
      <c r="C64" s="173"/>
      <c r="D64" s="165" t="s">
        <v>1447</v>
      </c>
      <c r="E64" s="177"/>
      <c r="F64" s="177"/>
      <c r="G64" s="180"/>
      <c r="H64" s="180">
        <v>100369.5</v>
      </c>
    </row>
    <row r="65" spans="1:8" ht="12.75">
      <c r="A65" s="179" t="s">
        <v>1921</v>
      </c>
      <c r="B65" s="173"/>
      <c r="C65" s="173"/>
      <c r="D65" s="165" t="s">
        <v>1448</v>
      </c>
      <c r="E65" s="177"/>
      <c r="F65" s="177"/>
      <c r="G65" s="180">
        <v>0</v>
      </c>
      <c r="H65" s="180"/>
    </row>
    <row r="66" spans="1:8" ht="12.75">
      <c r="A66" s="179" t="s">
        <v>1921</v>
      </c>
      <c r="B66" s="173"/>
      <c r="C66" s="173"/>
      <c r="D66" s="165" t="s">
        <v>1449</v>
      </c>
      <c r="E66" s="177"/>
      <c r="F66" s="177"/>
      <c r="G66" s="180">
        <v>0</v>
      </c>
      <c r="H66" s="180"/>
    </row>
    <row r="67" spans="1:8" ht="12.75">
      <c r="A67" s="179"/>
      <c r="B67" s="173"/>
      <c r="C67" s="173"/>
      <c r="D67" s="165"/>
      <c r="E67" s="177"/>
      <c r="F67" s="177"/>
      <c r="G67" s="180"/>
      <c r="H67" s="180"/>
    </row>
    <row r="68" spans="1:8" ht="12.75">
      <c r="A68" s="179" t="s">
        <v>1450</v>
      </c>
      <c r="B68" s="173"/>
      <c r="C68" s="173"/>
      <c r="D68" s="165" t="s">
        <v>1451</v>
      </c>
      <c r="E68" s="177"/>
      <c r="F68" s="177"/>
      <c r="G68" s="180">
        <v>109583334</v>
      </c>
      <c r="H68" s="180"/>
    </row>
    <row r="69" spans="1:8" ht="12.75">
      <c r="A69" s="179" t="s">
        <v>1452</v>
      </c>
      <c r="B69" s="173"/>
      <c r="C69" s="173"/>
      <c r="D69" s="165" t="s">
        <v>1453</v>
      </c>
      <c r="E69" s="177"/>
      <c r="F69" s="177"/>
      <c r="G69" s="182">
        <v>13682120416</v>
      </c>
      <c r="H69" s="180"/>
    </row>
    <row r="70" spans="1:8" ht="12.75">
      <c r="A70" s="179" t="s">
        <v>1454</v>
      </c>
      <c r="B70" s="173"/>
      <c r="C70" s="173"/>
      <c r="D70" s="165" t="s">
        <v>1455</v>
      </c>
      <c r="E70" s="177"/>
      <c r="F70" s="177"/>
      <c r="G70" s="180">
        <v>0</v>
      </c>
      <c r="H70" s="180"/>
    </row>
    <row r="71" spans="1:8" ht="12.75">
      <c r="A71" s="179" t="s">
        <v>1456</v>
      </c>
      <c r="B71" s="173"/>
      <c r="C71" s="173"/>
      <c r="D71" s="165" t="s">
        <v>1457</v>
      </c>
      <c r="E71" s="177"/>
      <c r="F71" s="177"/>
      <c r="G71" s="180">
        <v>734222</v>
      </c>
      <c r="H71" s="180"/>
    </row>
    <row r="72" spans="1:8" ht="12.75">
      <c r="A72" s="179" t="s">
        <v>1458</v>
      </c>
      <c r="B72" s="173"/>
      <c r="C72" s="174"/>
      <c r="D72" s="165" t="s">
        <v>1459</v>
      </c>
      <c r="E72" s="177"/>
      <c r="F72" s="177"/>
      <c r="G72" s="180">
        <v>31036656</v>
      </c>
      <c r="H72" s="180"/>
    </row>
    <row r="73" spans="1:8" ht="12.75">
      <c r="A73" s="179" t="s">
        <v>1460</v>
      </c>
      <c r="B73" s="173"/>
      <c r="C73" s="173"/>
      <c r="D73" s="165" t="s">
        <v>1461</v>
      </c>
      <c r="E73" s="177"/>
      <c r="F73" s="177"/>
      <c r="G73" s="180">
        <v>7905204</v>
      </c>
      <c r="H73" s="180"/>
    </row>
    <row r="74" spans="1:8" ht="12.75">
      <c r="A74" s="179" t="s">
        <v>1462</v>
      </c>
      <c r="B74" s="173"/>
      <c r="C74" s="174"/>
      <c r="D74" s="165" t="s">
        <v>1463</v>
      </c>
      <c r="E74" s="177"/>
      <c r="F74" s="177"/>
      <c r="G74" s="180">
        <v>200000</v>
      </c>
      <c r="H74" s="180"/>
    </row>
    <row r="75" spans="1:8" ht="12.75">
      <c r="A75" s="179" t="s">
        <v>1464</v>
      </c>
      <c r="B75" s="173"/>
      <c r="C75" s="173"/>
      <c r="D75" s="184" t="s">
        <v>1465</v>
      </c>
      <c r="E75" s="177"/>
      <c r="F75" s="177"/>
      <c r="G75" s="180">
        <v>0</v>
      </c>
      <c r="H75" s="180"/>
    </row>
    <row r="76" spans="1:8" ht="12.75">
      <c r="A76" s="179" t="s">
        <v>1466</v>
      </c>
      <c r="B76" s="173"/>
      <c r="C76" s="173"/>
      <c r="D76" s="184" t="s">
        <v>1467</v>
      </c>
      <c r="E76" s="177"/>
      <c r="F76" s="177"/>
      <c r="G76" s="180">
        <v>0</v>
      </c>
      <c r="H76" s="180"/>
    </row>
    <row r="77" spans="1:8" ht="12.75">
      <c r="A77" s="179" t="s">
        <v>1468</v>
      </c>
      <c r="B77" s="173"/>
      <c r="C77" s="174"/>
      <c r="D77" s="165" t="s">
        <v>1469</v>
      </c>
      <c r="E77" s="177"/>
      <c r="F77" s="177"/>
      <c r="G77" s="180">
        <v>1799112917</v>
      </c>
      <c r="H77" s="180"/>
    </row>
    <row r="78" spans="1:8" ht="12.75">
      <c r="A78" s="179" t="s">
        <v>1470</v>
      </c>
      <c r="B78" s="173"/>
      <c r="C78" s="174"/>
      <c r="D78" s="165" t="s">
        <v>1471</v>
      </c>
      <c r="E78" s="177"/>
      <c r="F78" s="177"/>
      <c r="G78" s="180">
        <v>0</v>
      </c>
      <c r="H78" s="180"/>
    </row>
    <row r="79" spans="1:8" ht="12.75">
      <c r="A79" s="179" t="s">
        <v>1472</v>
      </c>
      <c r="B79" s="173"/>
      <c r="C79" s="173"/>
      <c r="D79" s="165" t="s">
        <v>1473</v>
      </c>
      <c r="E79" s="177"/>
      <c r="F79" s="177"/>
      <c r="G79" s="180">
        <v>0</v>
      </c>
      <c r="H79" s="180"/>
    </row>
    <row r="80" spans="1:8" ht="12.75">
      <c r="A80" s="179" t="s">
        <v>1474</v>
      </c>
      <c r="B80" s="173"/>
      <c r="C80" s="173"/>
      <c r="D80" s="165" t="s">
        <v>1475</v>
      </c>
      <c r="E80" s="177"/>
      <c r="F80" s="177"/>
      <c r="G80" s="180"/>
      <c r="H80" s="180">
        <v>0</v>
      </c>
    </row>
    <row r="81" spans="1:8" ht="12.75">
      <c r="A81" s="179" t="s">
        <v>1476</v>
      </c>
      <c r="B81" s="173"/>
      <c r="C81" s="173"/>
      <c r="D81" s="165" t="s">
        <v>1477</v>
      </c>
      <c r="E81" s="177"/>
      <c r="F81" s="177"/>
      <c r="G81" s="180"/>
      <c r="H81" s="180">
        <v>412213299</v>
      </c>
    </row>
    <row r="82" spans="1:8" ht="12.75">
      <c r="A82" s="179" t="s">
        <v>1478</v>
      </c>
      <c r="B82" s="173"/>
      <c r="C82" s="173"/>
      <c r="D82" s="165" t="s">
        <v>1479</v>
      </c>
      <c r="E82" s="177"/>
      <c r="F82" s="177"/>
      <c r="G82" s="180"/>
      <c r="H82" s="180">
        <v>11666865</v>
      </c>
    </row>
    <row r="83" spans="1:8" ht="12.75">
      <c r="A83" s="179" t="s">
        <v>1480</v>
      </c>
      <c r="B83" s="173"/>
      <c r="C83" s="173"/>
      <c r="D83" s="165" t="s">
        <v>1481</v>
      </c>
      <c r="E83" s="177"/>
      <c r="F83" s="177"/>
      <c r="G83" s="180"/>
      <c r="H83" s="180">
        <f>59576845+149913484</f>
        <v>209490329</v>
      </c>
    </row>
    <row r="84" spans="1:8" ht="12.75">
      <c r="A84" s="179" t="s">
        <v>1482</v>
      </c>
      <c r="B84" s="173"/>
      <c r="C84" s="174"/>
      <c r="D84" s="165" t="s">
        <v>1483</v>
      </c>
      <c r="E84" s="177"/>
      <c r="F84" s="177"/>
      <c r="G84" s="180">
        <v>472518593</v>
      </c>
      <c r="H84" s="180"/>
    </row>
    <row r="85" spans="1:8" ht="12.75">
      <c r="A85" s="179" t="s">
        <v>1482</v>
      </c>
      <c r="B85" s="173"/>
      <c r="C85" s="174"/>
      <c r="D85" s="165" t="s">
        <v>1484</v>
      </c>
      <c r="E85" s="177"/>
      <c r="F85" s="177"/>
      <c r="G85" s="180">
        <v>486769503</v>
      </c>
      <c r="H85" s="180"/>
    </row>
    <row r="86" spans="1:8" ht="12.75">
      <c r="A86" s="179" t="s">
        <v>1485</v>
      </c>
      <c r="B86" s="173"/>
      <c r="C86" s="174"/>
      <c r="D86" s="165" t="s">
        <v>1486</v>
      </c>
      <c r="E86" s="177"/>
      <c r="F86" s="177"/>
      <c r="G86" s="180">
        <v>1368708075</v>
      </c>
      <c r="H86" s="180"/>
    </row>
    <row r="87" spans="1:8" ht="12.75">
      <c r="A87" s="179" t="s">
        <v>1487</v>
      </c>
      <c r="B87" s="173"/>
      <c r="C87" s="174"/>
      <c r="D87" s="184" t="s">
        <v>1488</v>
      </c>
      <c r="E87" s="177"/>
      <c r="F87" s="177"/>
      <c r="G87" s="180">
        <v>224714400</v>
      </c>
      <c r="H87" s="180"/>
    </row>
    <row r="88" spans="1:8" ht="12.75">
      <c r="A88" s="179" t="s">
        <v>1710</v>
      </c>
      <c r="B88" s="173"/>
      <c r="C88" s="174"/>
      <c r="D88" s="184" t="s">
        <v>1711</v>
      </c>
      <c r="E88" s="177"/>
      <c r="F88" s="177"/>
      <c r="G88" s="180">
        <v>431721453</v>
      </c>
      <c r="H88" s="180"/>
    </row>
    <row r="89" spans="1:8" ht="12.75">
      <c r="A89" s="179" t="s">
        <v>1712</v>
      </c>
      <c r="B89" s="173"/>
      <c r="C89" s="174"/>
      <c r="D89" s="184" t="s">
        <v>1713</v>
      </c>
      <c r="E89" s="177"/>
      <c r="F89" s="177"/>
      <c r="G89" s="180">
        <v>2413768398</v>
      </c>
      <c r="H89" s="180"/>
    </row>
    <row r="90" spans="1:8" ht="12.75">
      <c r="A90" s="179" t="s">
        <v>1002</v>
      </c>
      <c r="B90" s="173"/>
      <c r="C90" s="174"/>
      <c r="D90" s="165" t="s">
        <v>1003</v>
      </c>
      <c r="E90" s="177"/>
      <c r="F90" s="177"/>
      <c r="G90" s="180">
        <v>166483453</v>
      </c>
      <c r="H90" s="180"/>
    </row>
    <row r="91" spans="1:8" ht="12.75">
      <c r="A91" s="179" t="s">
        <v>1004</v>
      </c>
      <c r="B91" s="173"/>
      <c r="C91" s="174"/>
      <c r="D91" s="165" t="s">
        <v>1005</v>
      </c>
      <c r="E91" s="177"/>
      <c r="F91" s="177"/>
      <c r="G91" s="180">
        <v>2231563060</v>
      </c>
      <c r="H91" s="180"/>
    </row>
    <row r="92" spans="1:8" ht="12.75">
      <c r="A92" s="179" t="s">
        <v>1006</v>
      </c>
      <c r="B92" s="173"/>
      <c r="C92" s="174"/>
      <c r="D92" s="165" t="s">
        <v>1007</v>
      </c>
      <c r="E92" s="177"/>
      <c r="F92" s="177"/>
      <c r="G92" s="180">
        <v>346852810</v>
      </c>
      <c r="H92" s="180"/>
    </row>
    <row r="93" spans="1:8" ht="12.75">
      <c r="A93" s="179" t="s">
        <v>1008</v>
      </c>
      <c r="B93" s="173"/>
      <c r="C93" s="174"/>
      <c r="D93" s="165" t="s">
        <v>1009</v>
      </c>
      <c r="E93" s="177"/>
      <c r="F93" s="177"/>
      <c r="G93" s="180">
        <v>6752537</v>
      </c>
      <c r="H93" s="180"/>
    </row>
    <row r="94" spans="1:8" ht="12.75">
      <c r="A94" s="179" t="s">
        <v>653</v>
      </c>
      <c r="B94" s="173"/>
      <c r="C94" s="174"/>
      <c r="D94" s="164" t="s">
        <v>654</v>
      </c>
      <c r="E94" s="177"/>
      <c r="F94" s="177"/>
      <c r="G94" s="180">
        <v>0</v>
      </c>
      <c r="H94" s="180"/>
    </row>
    <row r="95" spans="1:8" ht="12.75">
      <c r="A95" s="179" t="s">
        <v>1010</v>
      </c>
      <c r="B95" s="173"/>
      <c r="C95" s="173"/>
      <c r="D95" s="165" t="s">
        <v>1699</v>
      </c>
      <c r="E95" s="177"/>
      <c r="F95" s="177"/>
      <c r="G95" s="180">
        <v>0</v>
      </c>
      <c r="H95" s="180"/>
    </row>
    <row r="96" spans="1:8" ht="12.75">
      <c r="A96" s="179" t="s">
        <v>1700</v>
      </c>
      <c r="B96" s="173"/>
      <c r="C96" s="173"/>
      <c r="D96" s="165" t="s">
        <v>1701</v>
      </c>
      <c r="E96" s="177"/>
      <c r="F96" s="177"/>
      <c r="G96" s="180">
        <v>0</v>
      </c>
      <c r="H96" s="180"/>
    </row>
    <row r="97" spans="1:8" ht="12.75">
      <c r="A97" s="179"/>
      <c r="B97" s="173"/>
      <c r="C97" s="174"/>
      <c r="D97" s="165"/>
      <c r="E97" s="177"/>
      <c r="F97" s="177"/>
      <c r="G97" s="180"/>
      <c r="H97" s="180"/>
    </row>
    <row r="98" spans="1:8" ht="12.75">
      <c r="A98" s="179" t="s">
        <v>1702</v>
      </c>
      <c r="B98" s="173"/>
      <c r="C98" s="174"/>
      <c r="D98" s="165" t="s">
        <v>1703</v>
      </c>
      <c r="E98" s="177"/>
      <c r="F98" s="177"/>
      <c r="G98" s="180"/>
      <c r="H98" s="180">
        <v>3598462000</v>
      </c>
    </row>
    <row r="99" spans="1:8" ht="12.75">
      <c r="A99" s="179" t="s">
        <v>1704</v>
      </c>
      <c r="B99" s="173"/>
      <c r="C99" s="174"/>
      <c r="D99" s="184" t="s">
        <v>1705</v>
      </c>
      <c r="E99" s="177"/>
      <c r="F99" s="177"/>
      <c r="G99" s="180"/>
      <c r="H99" s="180">
        <v>482993875</v>
      </c>
    </row>
    <row r="100" spans="1:8" ht="12.75">
      <c r="A100" s="179" t="s">
        <v>248</v>
      </c>
      <c r="B100" s="173"/>
      <c r="C100" s="174"/>
      <c r="D100" s="184" t="s">
        <v>249</v>
      </c>
      <c r="E100" s="177"/>
      <c r="F100" s="177"/>
      <c r="G100" s="180"/>
      <c r="H100" s="180">
        <v>0</v>
      </c>
    </row>
    <row r="101" spans="1:8" ht="12.75">
      <c r="A101" s="179" t="s">
        <v>250</v>
      </c>
      <c r="B101" s="173"/>
      <c r="C101" s="174"/>
      <c r="D101" s="184" t="s">
        <v>251</v>
      </c>
      <c r="E101" s="177"/>
      <c r="F101" s="177"/>
      <c r="G101" s="180"/>
      <c r="H101" s="180">
        <v>30235000891</v>
      </c>
    </row>
    <row r="102" spans="1:8" ht="12.75">
      <c r="A102" s="179"/>
      <c r="B102" s="173"/>
      <c r="C102" s="174"/>
      <c r="D102" s="184"/>
      <c r="E102" s="177"/>
      <c r="F102" s="177"/>
      <c r="G102" s="180"/>
      <c r="H102" s="180"/>
    </row>
    <row r="103" spans="1:8" ht="12.75">
      <c r="A103" s="179" t="s">
        <v>252</v>
      </c>
      <c r="B103" s="173"/>
      <c r="C103" s="174"/>
      <c r="D103" s="165" t="s">
        <v>253</v>
      </c>
      <c r="E103" s="177"/>
      <c r="F103" s="177"/>
      <c r="G103" s="180"/>
      <c r="H103" s="180">
        <v>0</v>
      </c>
    </row>
    <row r="104" spans="1:8" ht="12.75">
      <c r="A104" s="179" t="s">
        <v>254</v>
      </c>
      <c r="B104" s="173"/>
      <c r="C104" s="174"/>
      <c r="D104" s="165" t="s">
        <v>1969</v>
      </c>
      <c r="E104" s="177"/>
      <c r="F104" s="177"/>
      <c r="G104" s="180"/>
      <c r="H104" s="180">
        <v>629548022</v>
      </c>
    </row>
    <row r="105" spans="1:8" ht="12.75">
      <c r="A105" s="179" t="s">
        <v>1789</v>
      </c>
      <c r="B105" s="173"/>
      <c r="C105" s="173"/>
      <c r="D105" s="184" t="s">
        <v>1790</v>
      </c>
      <c r="E105" s="177"/>
      <c r="F105" s="177"/>
      <c r="G105" s="187"/>
      <c r="H105" s="187">
        <v>466771944</v>
      </c>
    </row>
    <row r="106" spans="1:8" ht="12.75">
      <c r="A106" s="179" t="s">
        <v>1791</v>
      </c>
      <c r="B106" s="173"/>
      <c r="C106" s="174"/>
      <c r="D106" s="184" t="s">
        <v>1792</v>
      </c>
      <c r="E106" s="177"/>
      <c r="F106" s="177"/>
      <c r="G106" s="180"/>
      <c r="H106" s="180">
        <v>1058900</v>
      </c>
    </row>
    <row r="107" spans="1:8" ht="12.75">
      <c r="A107" s="179" t="s">
        <v>1793</v>
      </c>
      <c r="B107" s="173"/>
      <c r="C107" s="174"/>
      <c r="D107" s="165" t="s">
        <v>579</v>
      </c>
      <c r="E107" s="177"/>
      <c r="F107" s="177"/>
      <c r="G107" s="180"/>
      <c r="H107" s="180">
        <v>0</v>
      </c>
    </row>
    <row r="108" spans="1:8" ht="12.75">
      <c r="A108" s="179" t="s">
        <v>580</v>
      </c>
      <c r="B108" s="173"/>
      <c r="C108" s="174"/>
      <c r="D108" s="165" t="s">
        <v>581</v>
      </c>
      <c r="E108" s="177"/>
      <c r="F108" s="177"/>
      <c r="G108" s="180"/>
      <c r="H108" s="180">
        <v>50363841</v>
      </c>
    </row>
    <row r="109" spans="1:8" ht="12.75">
      <c r="A109" s="179" t="s">
        <v>582</v>
      </c>
      <c r="B109" s="173"/>
      <c r="C109" s="174"/>
      <c r="D109" s="165" t="s">
        <v>583</v>
      </c>
      <c r="E109" s="177"/>
      <c r="F109" s="177"/>
      <c r="G109" s="180"/>
      <c r="H109" s="180">
        <v>35100222</v>
      </c>
    </row>
    <row r="110" spans="1:8" ht="12.75">
      <c r="A110" s="179" t="s">
        <v>584</v>
      </c>
      <c r="B110" s="173"/>
      <c r="C110" s="174"/>
      <c r="D110" s="165" t="s">
        <v>585</v>
      </c>
      <c r="E110" s="177"/>
      <c r="F110" s="177"/>
      <c r="G110" s="180"/>
      <c r="H110" s="180">
        <v>0</v>
      </c>
    </row>
    <row r="111" spans="1:8" ht="12.75">
      <c r="A111" s="179" t="s">
        <v>586</v>
      </c>
      <c r="B111" s="173"/>
      <c r="C111" s="174"/>
      <c r="D111" s="165" t="s">
        <v>769</v>
      </c>
      <c r="E111" s="177"/>
      <c r="F111" s="177"/>
      <c r="G111" s="180"/>
      <c r="H111" s="180">
        <v>0</v>
      </c>
    </row>
    <row r="112" spans="1:8" ht="12.75">
      <c r="A112" s="179" t="s">
        <v>770</v>
      </c>
      <c r="B112" s="173"/>
      <c r="C112" s="174"/>
      <c r="D112" s="165" t="s">
        <v>771</v>
      </c>
      <c r="E112" s="177"/>
      <c r="F112" s="177"/>
      <c r="G112" s="180"/>
      <c r="H112" s="180">
        <v>20662331</v>
      </c>
    </row>
    <row r="113" spans="1:8" ht="12.75">
      <c r="A113" s="179" t="s">
        <v>750</v>
      </c>
      <c r="B113" s="173"/>
      <c r="C113" s="174"/>
      <c r="D113" s="184" t="s">
        <v>751</v>
      </c>
      <c r="E113" s="177"/>
      <c r="F113" s="177"/>
      <c r="G113" s="180"/>
      <c r="H113" s="180">
        <v>1285175080</v>
      </c>
    </row>
    <row r="114" spans="1:8" ht="12.75">
      <c r="A114" s="179" t="s">
        <v>752</v>
      </c>
      <c r="B114" s="173"/>
      <c r="C114" s="174"/>
      <c r="D114" s="184" t="s">
        <v>753</v>
      </c>
      <c r="E114" s="177"/>
      <c r="F114" s="177"/>
      <c r="G114" s="180"/>
      <c r="H114" s="180">
        <v>0</v>
      </c>
    </row>
    <row r="115" spans="1:8" ht="12.75">
      <c r="A115" s="179" t="s">
        <v>754</v>
      </c>
      <c r="B115" s="173"/>
      <c r="C115" s="174"/>
      <c r="D115" s="165" t="s">
        <v>755</v>
      </c>
      <c r="E115" s="177"/>
      <c r="F115" s="177"/>
      <c r="G115" s="180"/>
      <c r="H115" s="180">
        <v>0</v>
      </c>
    </row>
    <row r="116" spans="1:8" ht="12.75">
      <c r="A116" s="179" t="s">
        <v>756</v>
      </c>
      <c r="B116" s="173"/>
      <c r="C116" s="174"/>
      <c r="D116" s="165" t="s">
        <v>231</v>
      </c>
      <c r="E116" s="177"/>
      <c r="F116" s="177"/>
      <c r="G116" s="180"/>
      <c r="H116" s="180">
        <v>0</v>
      </c>
    </row>
    <row r="117" spans="1:8" ht="12.75">
      <c r="A117" s="179" t="s">
        <v>1068</v>
      </c>
      <c r="B117" s="173"/>
      <c r="C117" s="174"/>
      <c r="D117" s="165" t="s">
        <v>1069</v>
      </c>
      <c r="E117" s="177"/>
      <c r="F117" s="177"/>
      <c r="G117" s="180"/>
      <c r="H117" s="180">
        <v>39452618</v>
      </c>
    </row>
    <row r="118" spans="1:8" ht="12.75">
      <c r="A118" s="179" t="s">
        <v>232</v>
      </c>
      <c r="B118" s="173"/>
      <c r="C118" s="174"/>
      <c r="D118" s="165" t="s">
        <v>233</v>
      </c>
      <c r="E118" s="177"/>
      <c r="F118" s="177"/>
      <c r="G118" s="180"/>
      <c r="H118" s="180">
        <v>0</v>
      </c>
    </row>
    <row r="119" spans="1:8" ht="12.75">
      <c r="A119" s="179" t="s">
        <v>234</v>
      </c>
      <c r="B119" s="173"/>
      <c r="C119" s="174"/>
      <c r="D119" s="165" t="s">
        <v>1337</v>
      </c>
      <c r="E119" s="177"/>
      <c r="F119" s="177"/>
      <c r="G119" s="180"/>
      <c r="H119" s="187">
        <v>42278720</v>
      </c>
    </row>
    <row r="120" spans="1:8" ht="12.75">
      <c r="A120" s="179" t="s">
        <v>1338</v>
      </c>
      <c r="B120" s="173"/>
      <c r="C120" s="174"/>
      <c r="D120" s="165" t="s">
        <v>1339</v>
      </c>
      <c r="E120" s="177"/>
      <c r="F120" s="177"/>
      <c r="G120" s="180"/>
      <c r="H120" s="180">
        <v>13315451</v>
      </c>
    </row>
    <row r="121" spans="1:8" ht="12.75">
      <c r="A121" s="179" t="s">
        <v>1340</v>
      </c>
      <c r="B121" s="173"/>
      <c r="C121" s="173"/>
      <c r="D121" s="165" t="s">
        <v>1341</v>
      </c>
      <c r="E121" s="177"/>
      <c r="F121" s="177"/>
      <c r="G121" s="180"/>
      <c r="H121" s="180">
        <v>0</v>
      </c>
    </row>
    <row r="122" spans="1:8" ht="12.75">
      <c r="A122" s="179" t="s">
        <v>1342</v>
      </c>
      <c r="B122" s="173"/>
      <c r="C122" s="173"/>
      <c r="D122" s="165" t="s">
        <v>1343</v>
      </c>
      <c r="E122" s="177"/>
      <c r="F122" s="177"/>
      <c r="G122" s="180"/>
      <c r="H122" s="180">
        <v>0</v>
      </c>
    </row>
    <row r="123" spans="1:8" ht="12.75">
      <c r="A123" s="179" t="s">
        <v>1344</v>
      </c>
      <c r="B123" s="173"/>
      <c r="C123" s="174"/>
      <c r="D123" s="165" t="s">
        <v>1489</v>
      </c>
      <c r="E123" s="177"/>
      <c r="F123" s="177"/>
      <c r="G123" s="180"/>
      <c r="H123" s="180">
        <v>0</v>
      </c>
    </row>
    <row r="124" spans="1:8" ht="12.75">
      <c r="A124" s="179" t="s">
        <v>1490</v>
      </c>
      <c r="B124" s="173"/>
      <c r="C124" s="173"/>
      <c r="D124" s="165" t="s">
        <v>1491</v>
      </c>
      <c r="E124" s="177"/>
      <c r="F124" s="177"/>
      <c r="G124" s="180"/>
      <c r="H124" s="180">
        <v>0</v>
      </c>
    </row>
    <row r="125" spans="1:8" ht="12.75">
      <c r="A125" s="179" t="s">
        <v>1492</v>
      </c>
      <c r="B125" s="173"/>
      <c r="C125" s="173"/>
      <c r="D125" s="165" t="s">
        <v>1493</v>
      </c>
      <c r="E125" s="177"/>
      <c r="F125" s="177"/>
      <c r="G125" s="180"/>
      <c r="H125" s="180">
        <v>0</v>
      </c>
    </row>
    <row r="126" spans="1:8" ht="12.75">
      <c r="A126" s="179" t="s">
        <v>1494</v>
      </c>
      <c r="B126" s="173"/>
      <c r="C126" s="173"/>
      <c r="D126" s="165" t="s">
        <v>1495</v>
      </c>
      <c r="E126" s="177"/>
      <c r="F126" s="177"/>
      <c r="G126" s="180">
        <v>19152684</v>
      </c>
      <c r="H126" s="180"/>
    </row>
    <row r="127" spans="1:8" ht="12.75">
      <c r="A127" s="179" t="s">
        <v>1496</v>
      </c>
      <c r="B127" s="173"/>
      <c r="C127" s="173"/>
      <c r="D127" s="165" t="s">
        <v>1497</v>
      </c>
      <c r="E127" s="177"/>
      <c r="F127" s="177"/>
      <c r="G127" s="180"/>
      <c r="H127" s="180">
        <v>417528</v>
      </c>
    </row>
    <row r="128" spans="1:8" ht="12.75">
      <c r="A128" s="179" t="s">
        <v>1498</v>
      </c>
      <c r="B128" s="173"/>
      <c r="C128" s="173"/>
      <c r="D128" s="165" t="s">
        <v>1499</v>
      </c>
      <c r="E128" s="177"/>
      <c r="F128" s="177"/>
      <c r="G128" s="180"/>
      <c r="H128" s="180">
        <v>0</v>
      </c>
    </row>
    <row r="129" spans="1:8" ht="12.75">
      <c r="A129" s="179" t="s">
        <v>1500</v>
      </c>
      <c r="B129" s="173"/>
      <c r="C129" s="173"/>
      <c r="D129" s="165" t="s">
        <v>1501</v>
      </c>
      <c r="E129" s="177"/>
      <c r="F129" s="177"/>
      <c r="G129" s="180"/>
      <c r="H129" s="180">
        <v>0</v>
      </c>
    </row>
    <row r="130" spans="1:8" ht="12.75">
      <c r="A130" s="179" t="s">
        <v>1502</v>
      </c>
      <c r="B130" s="173"/>
      <c r="C130" s="173"/>
      <c r="D130" s="165" t="s">
        <v>1142</v>
      </c>
      <c r="E130" s="177"/>
      <c r="F130" s="177"/>
      <c r="G130" s="180"/>
      <c r="H130" s="180">
        <v>0</v>
      </c>
    </row>
    <row r="131" spans="1:8" ht="12.75">
      <c r="A131" s="179" t="s">
        <v>1143</v>
      </c>
      <c r="B131" s="173"/>
      <c r="C131" s="173"/>
      <c r="D131" s="165" t="s">
        <v>1144</v>
      </c>
      <c r="E131" s="177"/>
      <c r="F131" s="177"/>
      <c r="G131" s="180"/>
      <c r="H131" s="180">
        <v>74358000</v>
      </c>
    </row>
    <row r="132" spans="1:8" ht="12.75">
      <c r="A132" s="179" t="s">
        <v>1145</v>
      </c>
      <c r="B132" s="173"/>
      <c r="C132" s="173"/>
      <c r="D132" s="165" t="s">
        <v>1146</v>
      </c>
      <c r="E132" s="177"/>
      <c r="F132" s="177"/>
      <c r="G132" s="180"/>
      <c r="H132" s="182">
        <v>2591304325</v>
      </c>
    </row>
    <row r="133" spans="1:8" ht="12.75">
      <c r="A133" s="179" t="s">
        <v>1147</v>
      </c>
      <c r="B133" s="173"/>
      <c r="C133" s="173"/>
      <c r="D133" s="165" t="s">
        <v>1148</v>
      </c>
      <c r="E133" s="177"/>
      <c r="F133" s="177"/>
      <c r="G133" s="180"/>
      <c r="H133" s="180">
        <v>0</v>
      </c>
    </row>
    <row r="134" spans="1:8" ht="12.75">
      <c r="A134" s="179" t="s">
        <v>464</v>
      </c>
      <c r="B134" s="173"/>
      <c r="C134" s="173"/>
      <c r="D134" s="165" t="s">
        <v>465</v>
      </c>
      <c r="E134" s="177"/>
      <c r="F134" s="177"/>
      <c r="G134" s="180"/>
      <c r="H134" s="180">
        <v>0</v>
      </c>
    </row>
    <row r="135" spans="1:8" ht="12.75">
      <c r="A135" s="179" t="s">
        <v>467</v>
      </c>
      <c r="B135" s="173"/>
      <c r="C135" s="173"/>
      <c r="D135" s="165" t="s">
        <v>1971</v>
      </c>
      <c r="E135" s="177"/>
      <c r="F135" s="177"/>
      <c r="G135" s="180"/>
      <c r="H135" s="180">
        <v>21143887</v>
      </c>
    </row>
    <row r="136" spans="1:8" ht="12.75">
      <c r="A136" s="179" t="s">
        <v>1972</v>
      </c>
      <c r="B136" s="173"/>
      <c r="C136" s="173"/>
      <c r="D136" s="165" t="s">
        <v>1973</v>
      </c>
      <c r="E136" s="177"/>
      <c r="F136" s="177"/>
      <c r="G136" s="180"/>
      <c r="H136" s="180">
        <f>275952742+1513935-1416798</f>
        <v>276049879</v>
      </c>
    </row>
    <row r="137" spans="1:8" ht="12.75">
      <c r="A137" s="179" t="s">
        <v>1974</v>
      </c>
      <c r="B137" s="173"/>
      <c r="C137" s="173"/>
      <c r="D137" s="165" t="s">
        <v>1975</v>
      </c>
      <c r="E137" s="177"/>
      <c r="F137" s="177"/>
      <c r="G137" s="180"/>
      <c r="H137" s="180">
        <v>0</v>
      </c>
    </row>
    <row r="138" spans="1:8" ht="12.75">
      <c r="A138" s="179" t="s">
        <v>1976</v>
      </c>
      <c r="B138" s="173"/>
      <c r="C138" s="173"/>
      <c r="D138" s="165" t="s">
        <v>1977</v>
      </c>
      <c r="E138" s="177"/>
      <c r="F138" s="177"/>
      <c r="G138" s="180"/>
      <c r="H138" s="180">
        <v>0</v>
      </c>
    </row>
    <row r="139" spans="1:8" ht="12.75">
      <c r="A139" s="179" t="s">
        <v>1978</v>
      </c>
      <c r="B139" s="173"/>
      <c r="C139" s="173"/>
      <c r="D139" s="165" t="s">
        <v>1979</v>
      </c>
      <c r="E139" s="177"/>
      <c r="F139" s="177"/>
      <c r="G139" s="180"/>
      <c r="H139" s="180">
        <v>278385964</v>
      </c>
    </row>
    <row r="140" spans="1:8" ht="12.75">
      <c r="A140" s="179" t="s">
        <v>1980</v>
      </c>
      <c r="B140" s="173"/>
      <c r="C140" s="173"/>
      <c r="D140" s="165" t="s">
        <v>1981</v>
      </c>
      <c r="E140" s="177"/>
      <c r="F140" s="177"/>
      <c r="G140" s="180"/>
      <c r="H140" s="180">
        <v>6000</v>
      </c>
    </row>
    <row r="141" spans="1:8" ht="12.75">
      <c r="A141" s="179" t="s">
        <v>1982</v>
      </c>
      <c r="B141" s="173"/>
      <c r="C141" s="173"/>
      <c r="D141" s="165" t="s">
        <v>1983</v>
      </c>
      <c r="E141" s="177"/>
      <c r="F141" s="177"/>
      <c r="G141" s="180"/>
      <c r="H141" s="180">
        <v>7177783000</v>
      </c>
    </row>
    <row r="142" spans="1:8" ht="12.75">
      <c r="A142" s="179" t="s">
        <v>1984</v>
      </c>
      <c r="B142" s="173"/>
      <c r="C142" s="173"/>
      <c r="D142" s="165" t="s">
        <v>1985</v>
      </c>
      <c r="E142" s="177"/>
      <c r="F142" s="177"/>
      <c r="G142" s="180"/>
      <c r="H142" s="180">
        <v>143288</v>
      </c>
    </row>
    <row r="143" spans="1:8" ht="12.75">
      <c r="A143" s="179" t="s">
        <v>1986</v>
      </c>
      <c r="B143" s="173"/>
      <c r="C143" s="173"/>
      <c r="D143" s="165" t="s">
        <v>1987</v>
      </c>
      <c r="E143" s="177"/>
      <c r="F143" s="177"/>
      <c r="G143" s="180"/>
      <c r="H143" s="180">
        <v>481985220</v>
      </c>
    </row>
    <row r="144" spans="1:8" ht="12.75">
      <c r="A144" s="179" t="s">
        <v>1986</v>
      </c>
      <c r="B144" s="173"/>
      <c r="C144" s="173"/>
      <c r="D144" s="165" t="s">
        <v>1988</v>
      </c>
      <c r="E144" s="177"/>
      <c r="F144" s="177"/>
      <c r="G144" s="180"/>
      <c r="H144" s="180">
        <v>0</v>
      </c>
    </row>
    <row r="145" spans="1:8" ht="12.75">
      <c r="A145" s="179" t="s">
        <v>1989</v>
      </c>
      <c r="B145" s="173"/>
      <c r="C145" s="173"/>
      <c r="D145" s="165" t="s">
        <v>1990</v>
      </c>
      <c r="E145" s="177"/>
      <c r="F145" s="177"/>
      <c r="G145" s="180"/>
      <c r="H145" s="180">
        <v>0</v>
      </c>
    </row>
    <row r="146" spans="1:8" ht="12.75">
      <c r="A146" s="179" t="s">
        <v>1989</v>
      </c>
      <c r="B146" s="173"/>
      <c r="C146" s="173"/>
      <c r="D146" s="165" t="s">
        <v>1991</v>
      </c>
      <c r="E146" s="177"/>
      <c r="F146" s="177"/>
      <c r="G146" s="180"/>
      <c r="H146" s="180">
        <v>162763323</v>
      </c>
    </row>
    <row r="147" spans="1:8" ht="12.75">
      <c r="A147" s="179" t="s">
        <v>1992</v>
      </c>
      <c r="B147" s="173"/>
      <c r="C147" s="173"/>
      <c r="D147" s="188" t="s">
        <v>1993</v>
      </c>
      <c r="E147" s="177"/>
      <c r="F147" s="177"/>
      <c r="G147" s="180"/>
      <c r="H147" s="180">
        <v>0</v>
      </c>
    </row>
    <row r="148" spans="1:8" ht="12.75">
      <c r="A148" s="179" t="s">
        <v>1992</v>
      </c>
      <c r="B148" s="173"/>
      <c r="C148" s="173"/>
      <c r="D148" s="188" t="s">
        <v>1994</v>
      </c>
      <c r="E148" s="177"/>
      <c r="F148" s="177"/>
      <c r="G148" s="180"/>
      <c r="H148" s="180">
        <v>54602226</v>
      </c>
    </row>
    <row r="149" spans="1:8" ht="12.75">
      <c r="A149" s="173"/>
      <c r="B149" s="173"/>
      <c r="C149" s="173"/>
      <c r="D149" s="165"/>
      <c r="E149" s="177"/>
      <c r="F149" s="177"/>
      <c r="G149" s="180"/>
      <c r="H149" s="180"/>
    </row>
    <row r="150" spans="1:8" ht="12.75">
      <c r="A150" s="179" t="s">
        <v>1995</v>
      </c>
      <c r="B150" s="173"/>
      <c r="C150" s="173"/>
      <c r="D150" s="165" t="s">
        <v>1996</v>
      </c>
      <c r="E150" s="177"/>
      <c r="F150" s="177"/>
      <c r="G150" s="180"/>
      <c r="H150" s="180">
        <v>73086654814</v>
      </c>
    </row>
    <row r="151" spans="1:8" ht="12.75">
      <c r="A151" s="179" t="s">
        <v>1997</v>
      </c>
      <c r="B151" s="173"/>
      <c r="C151" s="173"/>
      <c r="D151" s="165" t="s">
        <v>1998</v>
      </c>
      <c r="E151" s="177"/>
      <c r="F151" s="177"/>
      <c r="G151" s="180"/>
      <c r="H151" s="180">
        <v>8711026380</v>
      </c>
    </row>
    <row r="152" spans="1:8" ht="12.75">
      <c r="A152" s="179" t="s">
        <v>1999</v>
      </c>
      <c r="B152" s="173"/>
      <c r="C152" s="174"/>
      <c r="D152" s="165" t="s">
        <v>2000</v>
      </c>
      <c r="E152" s="177"/>
      <c r="F152" s="177"/>
      <c r="G152" s="180"/>
      <c r="H152" s="180">
        <v>15641960</v>
      </c>
    </row>
    <row r="153" spans="1:8" ht="12.75">
      <c r="A153" s="179" t="s">
        <v>2001</v>
      </c>
      <c r="B153" s="173"/>
      <c r="C153" s="174"/>
      <c r="D153" s="165" t="s">
        <v>2002</v>
      </c>
      <c r="E153" s="177"/>
      <c r="F153" s="177"/>
      <c r="G153" s="180"/>
      <c r="H153" s="180">
        <v>9328449</v>
      </c>
    </row>
    <row r="154" spans="1:8" ht="12.75">
      <c r="A154" s="179" t="s">
        <v>2003</v>
      </c>
      <c r="B154" s="173"/>
      <c r="C154" s="174"/>
      <c r="D154" s="165" t="s">
        <v>2004</v>
      </c>
      <c r="E154" s="177"/>
      <c r="F154" s="177"/>
      <c r="G154" s="180"/>
      <c r="H154" s="180">
        <v>1459977880</v>
      </c>
    </row>
    <row r="155" spans="1:8" ht="12.75">
      <c r="A155" s="179" t="s">
        <v>2005</v>
      </c>
      <c r="B155" s="173"/>
      <c r="C155" s="174"/>
      <c r="D155" s="165" t="s">
        <v>2006</v>
      </c>
      <c r="E155" s="177"/>
      <c r="F155" s="177"/>
      <c r="G155" s="180"/>
      <c r="H155" s="180">
        <v>45576335</v>
      </c>
    </row>
    <row r="156" spans="1:8" ht="12.75">
      <c r="A156" s="179" t="s">
        <v>2007</v>
      </c>
      <c r="B156" s="173"/>
      <c r="C156" s="174"/>
      <c r="D156" s="165" t="s">
        <v>2008</v>
      </c>
      <c r="E156" s="177"/>
      <c r="F156" s="177"/>
      <c r="G156" s="180"/>
      <c r="H156" s="180">
        <v>99491616</v>
      </c>
    </row>
    <row r="157" spans="1:8" ht="12.75">
      <c r="A157" s="179" t="s">
        <v>2009</v>
      </c>
      <c r="B157" s="173"/>
      <c r="C157" s="174"/>
      <c r="D157" s="165" t="s">
        <v>2010</v>
      </c>
      <c r="E157" s="177"/>
      <c r="F157" s="177"/>
      <c r="G157" s="180"/>
      <c r="H157" s="180">
        <v>0</v>
      </c>
    </row>
    <row r="158" spans="1:8" ht="12.75">
      <c r="A158" s="179" t="s">
        <v>2011</v>
      </c>
      <c r="B158" s="173"/>
      <c r="C158" s="174"/>
      <c r="D158" s="165" t="s">
        <v>2012</v>
      </c>
      <c r="E158" s="177"/>
      <c r="F158" s="177"/>
      <c r="G158" s="180"/>
      <c r="H158" s="180">
        <v>932319855</v>
      </c>
    </row>
    <row r="159" spans="1:8" ht="12.75">
      <c r="A159" s="179" t="s">
        <v>2013</v>
      </c>
      <c r="B159" s="173"/>
      <c r="C159" s="173"/>
      <c r="D159" s="165" t="s">
        <v>2014</v>
      </c>
      <c r="E159" s="177"/>
      <c r="F159" s="177"/>
      <c r="G159" s="180"/>
      <c r="H159" s="180">
        <v>290721183</v>
      </c>
    </row>
    <row r="160" spans="1:8" ht="12.75">
      <c r="A160" s="179" t="s">
        <v>2015</v>
      </c>
      <c r="B160" s="173"/>
      <c r="C160" s="174"/>
      <c r="D160" s="165" t="s">
        <v>2016</v>
      </c>
      <c r="E160" s="177"/>
      <c r="F160" s="177"/>
      <c r="G160" s="180"/>
      <c r="H160" s="180">
        <v>0</v>
      </c>
    </row>
    <row r="161" spans="1:8" ht="12.75">
      <c r="A161" s="173"/>
      <c r="B161" s="173"/>
      <c r="C161" s="173"/>
      <c r="D161" s="165"/>
      <c r="E161" s="177"/>
      <c r="F161" s="177"/>
      <c r="G161" s="180"/>
      <c r="H161" s="180"/>
    </row>
    <row r="162" spans="1:8" ht="12.75">
      <c r="A162" s="179" t="s">
        <v>2017</v>
      </c>
      <c r="B162" s="179" t="s">
        <v>2018</v>
      </c>
      <c r="C162" s="174"/>
      <c r="D162" s="165" t="s">
        <v>2019</v>
      </c>
      <c r="E162" s="177"/>
      <c r="F162" s="177"/>
      <c r="G162" s="180">
        <v>55687947</v>
      </c>
      <c r="H162" s="180"/>
    </row>
    <row r="163" spans="1:8" ht="12.75">
      <c r="A163" s="179" t="s">
        <v>2020</v>
      </c>
      <c r="B163" s="179" t="s">
        <v>2018</v>
      </c>
      <c r="C163" s="174"/>
      <c r="D163" s="165" t="s">
        <v>2021</v>
      </c>
      <c r="E163" s="177"/>
      <c r="F163" s="177"/>
      <c r="G163" s="180">
        <v>9173123532</v>
      </c>
      <c r="H163" s="180"/>
    </row>
    <row r="164" spans="1:8" ht="12.75">
      <c r="A164" s="179" t="s">
        <v>2022</v>
      </c>
      <c r="B164" s="179" t="s">
        <v>2023</v>
      </c>
      <c r="C164" s="174"/>
      <c r="D164" s="165" t="s">
        <v>2024</v>
      </c>
      <c r="E164" s="177"/>
      <c r="F164" s="177"/>
      <c r="G164" s="180">
        <v>1989280438</v>
      </c>
      <c r="H164" s="180"/>
    </row>
    <row r="165" spans="1:8" ht="12.75">
      <c r="A165" s="179" t="s">
        <v>1070</v>
      </c>
      <c r="B165" s="179" t="s">
        <v>2023</v>
      </c>
      <c r="C165" s="173"/>
      <c r="D165" s="165" t="s">
        <v>1071</v>
      </c>
      <c r="E165" s="177"/>
      <c r="F165" s="177"/>
      <c r="G165" s="180">
        <v>79116608</v>
      </c>
      <c r="H165" s="180"/>
    </row>
    <row r="166" spans="1:8" ht="12.75">
      <c r="A166" s="179" t="s">
        <v>1072</v>
      </c>
      <c r="B166" s="179" t="s">
        <v>2023</v>
      </c>
      <c r="C166" s="173"/>
      <c r="D166" s="165" t="s">
        <v>2026</v>
      </c>
      <c r="E166" s="177"/>
      <c r="F166" s="177"/>
      <c r="G166" s="180">
        <v>232568027</v>
      </c>
      <c r="H166" s="180"/>
    </row>
    <row r="167" spans="1:8" ht="12.75">
      <c r="A167" s="179" t="s">
        <v>2027</v>
      </c>
      <c r="B167" s="179" t="s">
        <v>2018</v>
      </c>
      <c r="C167" s="174"/>
      <c r="D167" s="165" t="s">
        <v>2028</v>
      </c>
      <c r="E167" s="177"/>
      <c r="F167" s="177"/>
      <c r="G167" s="180">
        <v>2724176463</v>
      </c>
      <c r="H167" s="180"/>
    </row>
    <row r="168" spans="1:8" ht="12.75">
      <c r="A168" s="179" t="s">
        <v>2029</v>
      </c>
      <c r="B168" s="179" t="s">
        <v>2018</v>
      </c>
      <c r="C168" s="174"/>
      <c r="D168" s="165" t="s">
        <v>2030</v>
      </c>
      <c r="E168" s="177"/>
      <c r="F168" s="177"/>
      <c r="G168" s="180">
        <v>308118637</v>
      </c>
      <c r="H168" s="180"/>
    </row>
    <row r="169" spans="1:8" ht="12.75">
      <c r="A169" s="179" t="s">
        <v>2031</v>
      </c>
      <c r="B169" s="179" t="s">
        <v>2032</v>
      </c>
      <c r="C169" s="174"/>
      <c r="D169" s="165" t="s">
        <v>2033</v>
      </c>
      <c r="F169" s="177"/>
      <c r="G169" s="180">
        <f>2833336952.15+1192545.44</f>
        <v>2834529497.59</v>
      </c>
      <c r="H169" s="180"/>
    </row>
    <row r="170" spans="1:8" ht="12.75">
      <c r="A170" s="179" t="s">
        <v>2031</v>
      </c>
      <c r="B170" s="179" t="s">
        <v>2034</v>
      </c>
      <c r="C170" s="174"/>
      <c r="D170" s="165" t="s">
        <v>2035</v>
      </c>
      <c r="E170" s="177"/>
      <c r="F170" s="177"/>
      <c r="G170" s="180">
        <f>198986.18+25579.98</f>
        <v>224566.16</v>
      </c>
      <c r="H170" s="180"/>
    </row>
    <row r="171" spans="1:8" ht="12.75">
      <c r="A171" s="179" t="s">
        <v>2031</v>
      </c>
      <c r="B171" s="179" t="s">
        <v>2036</v>
      </c>
      <c r="C171" s="173"/>
      <c r="D171" s="165" t="s">
        <v>2037</v>
      </c>
      <c r="E171" s="177"/>
      <c r="F171" s="177"/>
      <c r="G171" s="180">
        <f>168769.41+587108.92</f>
        <v>755878.3300000001</v>
      </c>
      <c r="H171" s="180"/>
    </row>
    <row r="172" spans="1:8" ht="12.75">
      <c r="A172" s="179" t="s">
        <v>2038</v>
      </c>
      <c r="B172" s="179" t="s">
        <v>2032</v>
      </c>
      <c r="C172" s="173"/>
      <c r="D172" s="165" t="s">
        <v>2039</v>
      </c>
      <c r="E172" s="177"/>
      <c r="F172" s="177"/>
      <c r="G172" s="180">
        <v>123020095</v>
      </c>
      <c r="H172" s="180"/>
    </row>
    <row r="173" spans="1:8" ht="12.75">
      <c r="A173" s="179" t="s">
        <v>2040</v>
      </c>
      <c r="B173" s="179" t="s">
        <v>2041</v>
      </c>
      <c r="C173" s="173"/>
      <c r="D173" s="165" t="s">
        <v>2042</v>
      </c>
      <c r="E173" s="177"/>
      <c r="F173" s="177"/>
      <c r="G173" s="180">
        <v>162079555.14</v>
      </c>
      <c r="H173" s="180"/>
    </row>
    <row r="174" spans="1:8" ht="12.75">
      <c r="A174" s="179" t="s">
        <v>2040</v>
      </c>
      <c r="B174" s="179" t="s">
        <v>2023</v>
      </c>
      <c r="C174" s="174"/>
      <c r="D174" s="165" t="s">
        <v>2043</v>
      </c>
      <c r="E174" s="177"/>
      <c r="F174" s="177"/>
      <c r="G174" s="180">
        <v>117018435.67</v>
      </c>
      <c r="H174" s="180"/>
    </row>
    <row r="175" spans="1:8" ht="12.75">
      <c r="A175" s="179" t="s">
        <v>2040</v>
      </c>
      <c r="B175" s="179" t="s">
        <v>2044</v>
      </c>
      <c r="C175" s="174"/>
      <c r="D175" s="165" t="s">
        <v>1694</v>
      </c>
      <c r="E175" s="177"/>
      <c r="F175" s="177"/>
      <c r="G175" s="180">
        <v>1144142960.98</v>
      </c>
      <c r="H175" s="180"/>
    </row>
    <row r="176" spans="1:8" ht="12.75">
      <c r="A176" s="179" t="s">
        <v>2040</v>
      </c>
      <c r="B176" s="179" t="s">
        <v>2018</v>
      </c>
      <c r="C176" s="174"/>
      <c r="D176" s="165" t="s">
        <v>1695</v>
      </c>
      <c r="E176" s="177"/>
      <c r="F176" s="177"/>
      <c r="G176" s="180">
        <v>1672217202.56</v>
      </c>
      <c r="H176" s="180"/>
    </row>
    <row r="177" spans="1:8" ht="12.75">
      <c r="A177" s="179" t="s">
        <v>2040</v>
      </c>
      <c r="B177" s="179" t="s">
        <v>1696</v>
      </c>
      <c r="C177" s="174"/>
      <c r="D177" s="165" t="s">
        <v>1734</v>
      </c>
      <c r="E177" s="177"/>
      <c r="F177" s="177"/>
      <c r="G177" s="180">
        <v>1050054124.49</v>
      </c>
      <c r="H177" s="180"/>
    </row>
    <row r="178" spans="1:8" ht="12.75">
      <c r="A178" s="179" t="s">
        <v>2040</v>
      </c>
      <c r="B178" s="179" t="s">
        <v>2032</v>
      </c>
      <c r="C178" s="173"/>
      <c r="D178" s="165" t="s">
        <v>1735</v>
      </c>
      <c r="E178" s="177"/>
      <c r="F178" s="177"/>
      <c r="G178" s="180">
        <v>94418395.31</v>
      </c>
      <c r="H178" s="180"/>
    </row>
    <row r="179" spans="1:8" ht="12.75">
      <c r="A179" s="179" t="s">
        <v>1736</v>
      </c>
      <c r="B179" s="179" t="s">
        <v>1696</v>
      </c>
      <c r="C179" s="173"/>
      <c r="D179" s="165" t="s">
        <v>1737</v>
      </c>
      <c r="E179" s="177"/>
      <c r="F179" s="177"/>
      <c r="G179" s="180">
        <v>209304359</v>
      </c>
      <c r="H179" s="180"/>
    </row>
    <row r="180" spans="1:8" ht="12.75">
      <c r="A180" s="179" t="s">
        <v>1738</v>
      </c>
      <c r="B180" s="179" t="s">
        <v>1696</v>
      </c>
      <c r="C180" s="174"/>
      <c r="D180" s="165" t="s">
        <v>1739</v>
      </c>
      <c r="E180" s="177"/>
      <c r="F180" s="177"/>
      <c r="G180" s="180">
        <v>5129483863</v>
      </c>
      <c r="H180" s="180"/>
    </row>
    <row r="181" spans="1:8" ht="12.75">
      <c r="A181" s="179" t="s">
        <v>1740</v>
      </c>
      <c r="B181" s="179" t="s">
        <v>1696</v>
      </c>
      <c r="C181" s="173"/>
      <c r="D181" s="165" t="s">
        <v>1741</v>
      </c>
      <c r="E181" s="177"/>
      <c r="F181" s="177"/>
      <c r="G181" s="180">
        <v>0</v>
      </c>
      <c r="H181" s="180"/>
    </row>
    <row r="182" spans="1:8" ht="12.75">
      <c r="A182" s="179" t="s">
        <v>1742</v>
      </c>
      <c r="B182" s="179" t="s">
        <v>1743</v>
      </c>
      <c r="C182" s="173"/>
      <c r="D182" s="165" t="s">
        <v>1744</v>
      </c>
      <c r="E182" s="177"/>
      <c r="F182" s="177"/>
      <c r="G182" s="180">
        <v>117869371</v>
      </c>
      <c r="H182" s="180"/>
    </row>
    <row r="183" spans="1:8" ht="12.75">
      <c r="A183" s="179" t="s">
        <v>1745</v>
      </c>
      <c r="B183" s="179" t="s">
        <v>1696</v>
      </c>
      <c r="C183" s="173"/>
      <c r="D183" s="165" t="s">
        <v>1746</v>
      </c>
      <c r="E183" s="177"/>
      <c r="F183" s="177"/>
      <c r="G183" s="180">
        <v>218811750</v>
      </c>
      <c r="H183" s="180"/>
    </row>
    <row r="184" spans="1:8" ht="12.75">
      <c r="A184" s="179" t="s">
        <v>1747</v>
      </c>
      <c r="B184" s="179" t="s">
        <v>2044</v>
      </c>
      <c r="C184" s="173"/>
      <c r="D184" s="165" t="s">
        <v>359</v>
      </c>
      <c r="E184" s="177"/>
      <c r="F184" s="177"/>
      <c r="G184" s="180">
        <v>90842665.29</v>
      </c>
      <c r="H184" s="180"/>
    </row>
    <row r="185" spans="1:8" ht="12.75">
      <c r="A185" s="179" t="s">
        <v>1747</v>
      </c>
      <c r="B185" s="179" t="s">
        <v>2018</v>
      </c>
      <c r="C185" s="174"/>
      <c r="D185" s="165" t="s">
        <v>360</v>
      </c>
      <c r="E185" s="177"/>
      <c r="F185" s="177"/>
      <c r="G185" s="180">
        <v>24907596.33</v>
      </c>
      <c r="H185" s="180"/>
    </row>
    <row r="186" spans="1:8" ht="12.75">
      <c r="A186" s="179" t="s">
        <v>361</v>
      </c>
      <c r="B186" s="179" t="s">
        <v>1696</v>
      </c>
      <c r="C186" s="173"/>
      <c r="D186" s="165" t="s">
        <v>362</v>
      </c>
      <c r="E186" s="177"/>
      <c r="F186" s="177"/>
      <c r="G186" s="180">
        <v>560071945</v>
      </c>
      <c r="H186" s="180"/>
    </row>
    <row r="187" spans="1:8" ht="12.75">
      <c r="A187" s="179" t="s">
        <v>363</v>
      </c>
      <c r="B187" s="179" t="s">
        <v>2034</v>
      </c>
      <c r="C187" s="173"/>
      <c r="D187" s="165" t="s">
        <v>1851</v>
      </c>
      <c r="E187" s="177"/>
      <c r="F187" s="177"/>
      <c r="G187" s="180">
        <v>26357571</v>
      </c>
      <c r="H187" s="180"/>
    </row>
    <row r="188" spans="1:8" ht="12.75">
      <c r="A188" s="179" t="s">
        <v>364</v>
      </c>
      <c r="B188" s="179" t="s">
        <v>2018</v>
      </c>
      <c r="C188" s="173"/>
      <c r="D188" s="173" t="s">
        <v>365</v>
      </c>
      <c r="E188" s="177"/>
      <c r="F188" s="177"/>
      <c r="G188" s="180">
        <v>264662236</v>
      </c>
      <c r="H188" s="180"/>
    </row>
    <row r="189" spans="1:8" ht="12.75">
      <c r="A189" s="179" t="s">
        <v>366</v>
      </c>
      <c r="B189" s="179" t="s">
        <v>2023</v>
      </c>
      <c r="C189" s="173"/>
      <c r="D189" s="165" t="s">
        <v>1154</v>
      </c>
      <c r="E189" s="177"/>
      <c r="F189" s="177"/>
      <c r="G189" s="180">
        <v>65909560</v>
      </c>
      <c r="H189" s="180"/>
    </row>
    <row r="190" spans="1:8" ht="12.75">
      <c r="A190" s="179" t="s">
        <v>1155</v>
      </c>
      <c r="B190" s="173" t="s">
        <v>1156</v>
      </c>
      <c r="C190" s="173"/>
      <c r="D190" s="165" t="s">
        <v>1157</v>
      </c>
      <c r="E190" s="177"/>
      <c r="F190" s="177"/>
      <c r="G190" s="180"/>
      <c r="H190" s="180">
        <v>784990294</v>
      </c>
    </row>
    <row r="191" spans="1:8" ht="12.75">
      <c r="A191" s="179" t="s">
        <v>1158</v>
      </c>
      <c r="B191" s="179" t="s">
        <v>1159</v>
      </c>
      <c r="C191" s="173"/>
      <c r="D191" s="165" t="s">
        <v>1160</v>
      </c>
      <c r="E191" s="177"/>
      <c r="F191" s="177"/>
      <c r="G191" s="187">
        <f>69018880.7-393.35</f>
        <v>69018487.35000001</v>
      </c>
      <c r="H191" s="180"/>
    </row>
    <row r="192" spans="1:8" ht="12.75">
      <c r="A192" s="179" t="s">
        <v>1158</v>
      </c>
      <c r="B192" s="179" t="s">
        <v>1161</v>
      </c>
      <c r="C192" s="173"/>
      <c r="D192" s="165" t="s">
        <v>1162</v>
      </c>
      <c r="E192" s="177"/>
      <c r="F192" s="177"/>
      <c r="G192" s="180">
        <v>27304194</v>
      </c>
      <c r="H192" s="180"/>
    </row>
    <row r="193" spans="1:8" ht="12.75">
      <c r="A193" s="179" t="s">
        <v>1158</v>
      </c>
      <c r="B193" s="179" t="s">
        <v>1163</v>
      </c>
      <c r="C193" s="173"/>
      <c r="D193" s="165" t="s">
        <v>1164</v>
      </c>
      <c r="E193" s="177"/>
      <c r="F193" s="177"/>
      <c r="G193" s="180">
        <v>40982995.1</v>
      </c>
      <c r="H193" s="180"/>
    </row>
    <row r="194" spans="1:8" ht="12.75">
      <c r="A194" s="179" t="s">
        <v>1158</v>
      </c>
      <c r="B194" s="179" t="s">
        <v>1165</v>
      </c>
      <c r="C194" s="173"/>
      <c r="D194" s="165" t="s">
        <v>1166</v>
      </c>
      <c r="E194" s="177"/>
      <c r="F194" s="177"/>
      <c r="G194" s="180">
        <v>53488475.2</v>
      </c>
      <c r="H194" s="180"/>
    </row>
    <row r="195" spans="1:8" ht="12.75">
      <c r="A195" s="179" t="s">
        <v>1158</v>
      </c>
      <c r="B195" s="179" t="s">
        <v>1167</v>
      </c>
      <c r="C195" s="173"/>
      <c r="D195" s="165" t="s">
        <v>1168</v>
      </c>
      <c r="E195" s="177"/>
      <c r="F195" s="177"/>
      <c r="G195" s="180">
        <v>0</v>
      </c>
      <c r="H195" s="180"/>
    </row>
    <row r="196" spans="1:8" ht="12.75">
      <c r="A196" s="179" t="s">
        <v>1158</v>
      </c>
      <c r="B196" s="179" t="s">
        <v>1169</v>
      </c>
      <c r="C196" s="173"/>
      <c r="D196" s="165" t="s">
        <v>0</v>
      </c>
      <c r="E196" s="177"/>
      <c r="F196" s="177"/>
      <c r="G196" s="180">
        <v>38490553.45</v>
      </c>
      <c r="H196" s="180"/>
    </row>
    <row r="197" spans="1:8" ht="12.75">
      <c r="A197" s="179" t="s">
        <v>1158</v>
      </c>
      <c r="B197" s="179" t="s">
        <v>1</v>
      </c>
      <c r="C197" s="173"/>
      <c r="D197" s="165" t="s">
        <v>727</v>
      </c>
      <c r="E197" s="177"/>
      <c r="F197" s="189"/>
      <c r="G197" s="180">
        <v>34437119.6</v>
      </c>
      <c r="H197" s="180"/>
    </row>
    <row r="198" spans="1:8" ht="12.75">
      <c r="A198" s="179" t="s">
        <v>1158</v>
      </c>
      <c r="B198" s="179" t="s">
        <v>728</v>
      </c>
      <c r="C198" s="173"/>
      <c r="D198" s="165" t="s">
        <v>729</v>
      </c>
      <c r="E198" s="177"/>
      <c r="F198" s="189"/>
      <c r="G198" s="180">
        <v>12802095</v>
      </c>
      <c r="H198" s="180"/>
    </row>
    <row r="199" spans="1:8" ht="12.75">
      <c r="A199" s="179" t="s">
        <v>1158</v>
      </c>
      <c r="B199" s="179" t="s">
        <v>2041</v>
      </c>
      <c r="C199" s="174"/>
      <c r="D199" s="165" t="s">
        <v>730</v>
      </c>
      <c r="E199" s="177"/>
      <c r="F199" s="189"/>
      <c r="G199" s="180">
        <v>180449879.5</v>
      </c>
      <c r="H199" s="180"/>
    </row>
    <row r="200" spans="1:8" ht="12.75">
      <c r="A200" s="179" t="s">
        <v>1158</v>
      </c>
      <c r="B200" s="179" t="s">
        <v>731</v>
      </c>
      <c r="C200" s="174"/>
      <c r="D200" s="165" t="s">
        <v>1032</v>
      </c>
      <c r="E200" s="177"/>
      <c r="F200" s="189"/>
      <c r="G200" s="180">
        <v>22036313.5</v>
      </c>
      <c r="H200" s="180"/>
    </row>
    <row r="201" spans="1:8" ht="12.75">
      <c r="A201" s="179" t="s">
        <v>1158</v>
      </c>
      <c r="B201" s="179" t="s">
        <v>2023</v>
      </c>
      <c r="C201" s="174"/>
      <c r="D201" s="165" t="s">
        <v>1033</v>
      </c>
      <c r="E201" s="177"/>
      <c r="F201" s="189"/>
      <c r="G201" s="180">
        <v>84818150.95</v>
      </c>
      <c r="H201" s="180"/>
    </row>
    <row r="202" spans="1:8" ht="12.75">
      <c r="A202" s="179" t="s">
        <v>1158</v>
      </c>
      <c r="B202" s="179" t="s">
        <v>2044</v>
      </c>
      <c r="C202" s="173"/>
      <c r="D202" s="165" t="s">
        <v>1034</v>
      </c>
      <c r="E202" s="177"/>
      <c r="F202" s="189"/>
      <c r="G202" s="180">
        <v>93354711.65</v>
      </c>
      <c r="H202" s="180"/>
    </row>
    <row r="203" spans="1:8" ht="12.75">
      <c r="A203" s="179" t="s">
        <v>1158</v>
      </c>
      <c r="B203" s="179" t="s">
        <v>2018</v>
      </c>
      <c r="C203" s="173"/>
      <c r="D203" s="165" t="s">
        <v>1035</v>
      </c>
      <c r="E203" s="177"/>
      <c r="F203" s="189"/>
      <c r="G203" s="180">
        <v>110770379.75</v>
      </c>
      <c r="H203" s="180"/>
    </row>
    <row r="204" spans="1:8" ht="12.75">
      <c r="A204" s="179" t="s">
        <v>1158</v>
      </c>
      <c r="B204" s="179" t="s">
        <v>1696</v>
      </c>
      <c r="C204" s="174"/>
      <c r="D204" s="165" t="s">
        <v>1036</v>
      </c>
      <c r="E204" s="177"/>
      <c r="F204" s="189"/>
      <c r="G204" s="180">
        <v>120573106.45</v>
      </c>
      <c r="H204" s="180"/>
    </row>
    <row r="205" spans="1:8" ht="12.75">
      <c r="A205" s="179" t="s">
        <v>1158</v>
      </c>
      <c r="B205" s="179" t="s">
        <v>2032</v>
      </c>
      <c r="C205" s="174"/>
      <c r="D205" s="165" t="s">
        <v>1037</v>
      </c>
      <c r="E205" s="177"/>
      <c r="F205" s="189"/>
      <c r="G205" s="180">
        <v>150170628.5</v>
      </c>
      <c r="H205" s="180"/>
    </row>
    <row r="206" spans="1:8" ht="12.75">
      <c r="A206" s="179" t="s">
        <v>1158</v>
      </c>
      <c r="B206" s="179" t="s">
        <v>1038</v>
      </c>
      <c r="C206" s="174"/>
      <c r="D206" s="165" t="s">
        <v>1039</v>
      </c>
      <c r="E206" s="177"/>
      <c r="F206" s="189"/>
      <c r="G206" s="180">
        <v>0</v>
      </c>
      <c r="H206" s="180"/>
    </row>
    <row r="207" spans="1:8" ht="12.75">
      <c r="A207" s="179" t="s">
        <v>1158</v>
      </c>
      <c r="B207" s="179" t="s">
        <v>1040</v>
      </c>
      <c r="C207" s="173"/>
      <c r="D207" s="165" t="s">
        <v>1041</v>
      </c>
      <c r="E207" s="177"/>
      <c r="F207" s="189"/>
      <c r="G207" s="180">
        <v>235899092.4</v>
      </c>
      <c r="H207" s="180"/>
    </row>
    <row r="208" spans="1:8" ht="12.75">
      <c r="A208" s="179" t="s">
        <v>1158</v>
      </c>
      <c r="B208" s="179" t="s">
        <v>1042</v>
      </c>
      <c r="C208" s="174"/>
      <c r="D208" s="165" t="s">
        <v>1043</v>
      </c>
      <c r="E208" s="177"/>
      <c r="F208" s="189"/>
      <c r="G208" s="180">
        <v>41331876</v>
      </c>
      <c r="H208" s="180"/>
    </row>
    <row r="209" spans="1:8" ht="12.75">
      <c r="A209" s="179" t="s">
        <v>1158</v>
      </c>
      <c r="B209" s="179" t="s">
        <v>1743</v>
      </c>
      <c r="C209" s="173"/>
      <c r="D209" s="165" t="s">
        <v>1044</v>
      </c>
      <c r="E209" s="177"/>
      <c r="F209" s="189"/>
      <c r="G209" s="180">
        <v>41756740.65</v>
      </c>
      <c r="H209" s="180"/>
    </row>
    <row r="210" spans="1:8" ht="12.75">
      <c r="A210" s="179" t="s">
        <v>1158</v>
      </c>
      <c r="B210" s="179" t="s">
        <v>1045</v>
      </c>
      <c r="C210" s="173"/>
      <c r="D210" s="165" t="s">
        <v>1046</v>
      </c>
      <c r="E210" s="177"/>
      <c r="F210" s="189"/>
      <c r="G210" s="180">
        <v>168071948.7</v>
      </c>
      <c r="H210" s="180"/>
    </row>
    <row r="211" spans="1:8" ht="12.75">
      <c r="A211" s="179" t="s">
        <v>1158</v>
      </c>
      <c r="B211" s="179" t="s">
        <v>2034</v>
      </c>
      <c r="C211" s="174"/>
      <c r="D211" s="165" t="s">
        <v>1047</v>
      </c>
      <c r="E211" s="177"/>
      <c r="F211" s="189"/>
      <c r="G211" s="180">
        <v>209021</v>
      </c>
      <c r="H211" s="180"/>
    </row>
    <row r="212" spans="1:8" ht="12.75">
      <c r="A212" s="179" t="s">
        <v>1158</v>
      </c>
      <c r="B212" s="179" t="s">
        <v>1048</v>
      </c>
      <c r="C212" s="174"/>
      <c r="D212" s="165" t="s">
        <v>1049</v>
      </c>
      <c r="E212" s="177"/>
      <c r="F212" s="189"/>
      <c r="G212" s="180">
        <v>20757671.35</v>
      </c>
      <c r="H212" s="180"/>
    </row>
    <row r="213" spans="1:8" ht="12.75">
      <c r="A213" s="179" t="s">
        <v>1158</v>
      </c>
      <c r="B213" s="179" t="s">
        <v>1050</v>
      </c>
      <c r="C213" s="174"/>
      <c r="D213" s="165" t="s">
        <v>1051</v>
      </c>
      <c r="E213" s="177"/>
      <c r="F213" s="189"/>
      <c r="G213" s="180">
        <v>16650415.8</v>
      </c>
      <c r="H213" s="180"/>
    </row>
    <row r="214" spans="1:8" ht="12.75">
      <c r="A214" s="179" t="s">
        <v>1158</v>
      </c>
      <c r="B214" s="179" t="s">
        <v>1052</v>
      </c>
      <c r="C214" s="174"/>
      <c r="D214" s="165" t="s">
        <v>1053</v>
      </c>
      <c r="E214" s="177"/>
      <c r="F214" s="189"/>
      <c r="G214" s="180">
        <v>81307616.95</v>
      </c>
      <c r="H214" s="180"/>
    </row>
    <row r="215" spans="1:8" ht="12.75">
      <c r="A215" s="179" t="s">
        <v>1158</v>
      </c>
      <c r="B215" s="179" t="s">
        <v>1057</v>
      </c>
      <c r="C215" s="174"/>
      <c r="D215" s="165" t="s">
        <v>1058</v>
      </c>
      <c r="E215" s="177"/>
      <c r="F215" s="189"/>
      <c r="G215" s="180">
        <v>24689973.7</v>
      </c>
      <c r="H215" s="180"/>
    </row>
    <row r="216" spans="1:8" ht="12.75">
      <c r="A216" s="179" t="s">
        <v>1158</v>
      </c>
      <c r="B216" s="179" t="s">
        <v>1059</v>
      </c>
      <c r="C216" s="174"/>
      <c r="D216" s="165" t="s">
        <v>1060</v>
      </c>
      <c r="E216" s="177"/>
      <c r="F216" s="189"/>
      <c r="G216" s="180">
        <v>38702498.85</v>
      </c>
      <c r="H216" s="180"/>
    </row>
    <row r="217" spans="1:8" ht="12.75">
      <c r="A217" s="179" t="s">
        <v>1158</v>
      </c>
      <c r="B217" s="179" t="s">
        <v>2036</v>
      </c>
      <c r="C217" s="174"/>
      <c r="D217" s="165" t="s">
        <v>1061</v>
      </c>
      <c r="E217" s="177"/>
      <c r="F217" s="189"/>
      <c r="G217" s="180">
        <v>36074646.65</v>
      </c>
      <c r="H217" s="180"/>
    </row>
    <row r="218" spans="1:8" ht="12.75">
      <c r="A218" s="179" t="s">
        <v>1158</v>
      </c>
      <c r="B218" s="179" t="s">
        <v>1062</v>
      </c>
      <c r="C218" s="174"/>
      <c r="D218" s="165" t="s">
        <v>1063</v>
      </c>
      <c r="E218" s="177"/>
      <c r="F218" s="189"/>
      <c r="G218" s="180">
        <v>13827091.4</v>
      </c>
      <c r="H218" s="180"/>
    </row>
    <row r="219" spans="1:8" ht="12.75">
      <c r="A219" s="179" t="s">
        <v>1158</v>
      </c>
      <c r="B219" s="179" t="s">
        <v>1064</v>
      </c>
      <c r="C219" s="174"/>
      <c r="D219" s="165" t="s">
        <v>1065</v>
      </c>
      <c r="E219" s="177"/>
      <c r="F219" s="189"/>
      <c r="G219" s="180">
        <v>47776845.25</v>
      </c>
      <c r="H219" s="180"/>
    </row>
    <row r="220" spans="1:8" ht="12.75">
      <c r="A220" s="179" t="s">
        <v>1158</v>
      </c>
      <c r="B220" s="179" t="s">
        <v>1066</v>
      </c>
      <c r="C220" s="174"/>
      <c r="D220" s="165" t="s">
        <v>1067</v>
      </c>
      <c r="E220" s="177"/>
      <c r="F220" s="189"/>
      <c r="G220" s="180">
        <v>32445958.8</v>
      </c>
      <c r="H220" s="180"/>
    </row>
    <row r="221" spans="1:8" ht="12.75">
      <c r="A221" s="179" t="s">
        <v>1158</v>
      </c>
      <c r="B221" s="179" t="s">
        <v>778</v>
      </c>
      <c r="C221" s="174"/>
      <c r="D221" s="165" t="s">
        <v>779</v>
      </c>
      <c r="E221" s="177"/>
      <c r="F221" s="189"/>
      <c r="G221" s="180">
        <v>23550745.35</v>
      </c>
      <c r="H221" s="180"/>
    </row>
    <row r="222" spans="1:8" ht="12.75">
      <c r="A222" s="179" t="s">
        <v>780</v>
      </c>
      <c r="B222" s="179" t="s">
        <v>1159</v>
      </c>
      <c r="C222" s="173"/>
      <c r="D222" s="165" t="s">
        <v>781</v>
      </c>
      <c r="E222" s="177"/>
      <c r="F222" s="189"/>
      <c r="G222" s="180">
        <v>290491</v>
      </c>
      <c r="H222" s="180"/>
    </row>
    <row r="223" spans="1:8" ht="12.75">
      <c r="A223" s="179" t="s">
        <v>780</v>
      </c>
      <c r="B223" s="179" t="s">
        <v>1161</v>
      </c>
      <c r="C223" s="174"/>
      <c r="D223" s="165" t="s">
        <v>782</v>
      </c>
      <c r="E223" s="177"/>
      <c r="F223" s="189"/>
      <c r="G223" s="180">
        <v>0</v>
      </c>
      <c r="H223" s="180"/>
    </row>
    <row r="224" spans="1:8" ht="12.75">
      <c r="A224" s="179" t="s">
        <v>780</v>
      </c>
      <c r="B224" s="179" t="s">
        <v>1163</v>
      </c>
      <c r="C224" s="173"/>
      <c r="D224" s="165" t="s">
        <v>783</v>
      </c>
      <c r="E224" s="177"/>
      <c r="F224" s="189"/>
      <c r="G224" s="180">
        <v>20224382.85</v>
      </c>
      <c r="H224" s="180"/>
    </row>
    <row r="225" spans="1:8" ht="12.75">
      <c r="A225" s="179" t="s">
        <v>780</v>
      </c>
      <c r="B225" s="179" t="s">
        <v>1165</v>
      </c>
      <c r="C225" s="174"/>
      <c r="D225" s="165" t="s">
        <v>784</v>
      </c>
      <c r="E225" s="177"/>
      <c r="F225" s="189"/>
      <c r="G225" s="180">
        <v>19865727.85</v>
      </c>
      <c r="H225" s="180"/>
    </row>
    <row r="226" spans="1:8" ht="12.75">
      <c r="A226" s="179" t="s">
        <v>780</v>
      </c>
      <c r="B226" s="179" t="s">
        <v>1167</v>
      </c>
      <c r="C226" s="174"/>
      <c r="D226" s="165" t="s">
        <v>785</v>
      </c>
      <c r="E226" s="177"/>
      <c r="F226" s="189"/>
      <c r="G226" s="180">
        <v>0</v>
      </c>
      <c r="H226" s="180"/>
    </row>
    <row r="227" spans="1:8" ht="12.75">
      <c r="A227" s="179" t="s">
        <v>780</v>
      </c>
      <c r="B227" s="179" t="s">
        <v>1169</v>
      </c>
      <c r="C227" s="174"/>
      <c r="D227" s="165" t="s">
        <v>786</v>
      </c>
      <c r="E227" s="177"/>
      <c r="F227" s="189"/>
      <c r="G227" s="180">
        <v>979237.75</v>
      </c>
      <c r="H227" s="180"/>
    </row>
    <row r="228" spans="1:8" ht="12.75">
      <c r="A228" s="179" t="s">
        <v>780</v>
      </c>
      <c r="B228" s="179" t="s">
        <v>1</v>
      </c>
      <c r="C228" s="173"/>
      <c r="D228" s="165" t="s">
        <v>787</v>
      </c>
      <c r="E228" s="177"/>
      <c r="F228" s="189"/>
      <c r="G228" s="180">
        <v>2967280.8</v>
      </c>
      <c r="H228" s="180"/>
    </row>
    <row r="229" spans="1:8" ht="12.75">
      <c r="A229" s="179" t="s">
        <v>780</v>
      </c>
      <c r="B229" s="179" t="s">
        <v>728</v>
      </c>
      <c r="C229" s="174"/>
      <c r="D229" s="165" t="s">
        <v>788</v>
      </c>
      <c r="E229" s="177"/>
      <c r="F229" s="177"/>
      <c r="G229" s="180">
        <v>0</v>
      </c>
      <c r="H229" s="180"/>
    </row>
    <row r="230" spans="1:8" ht="12.75">
      <c r="A230" s="179" t="s">
        <v>780</v>
      </c>
      <c r="B230" s="179" t="s">
        <v>2041</v>
      </c>
      <c r="C230" s="174"/>
      <c r="D230" s="165" t="s">
        <v>789</v>
      </c>
      <c r="E230" s="177"/>
      <c r="F230" s="177"/>
      <c r="G230" s="180">
        <v>10418067.25</v>
      </c>
      <c r="H230" s="180"/>
    </row>
    <row r="231" spans="1:8" ht="12.75">
      <c r="A231" s="179" t="s">
        <v>780</v>
      </c>
      <c r="B231" s="179" t="s">
        <v>731</v>
      </c>
      <c r="C231" s="174"/>
      <c r="D231" s="165" t="s">
        <v>790</v>
      </c>
      <c r="E231" s="177"/>
      <c r="F231" s="177"/>
      <c r="G231" s="180">
        <v>0</v>
      </c>
      <c r="H231" s="180"/>
    </row>
    <row r="232" spans="1:8" ht="12.75">
      <c r="A232" s="179" t="s">
        <v>780</v>
      </c>
      <c r="B232" s="179" t="s">
        <v>2023</v>
      </c>
      <c r="C232" s="174"/>
      <c r="D232" s="165" t="s">
        <v>791</v>
      </c>
      <c r="E232" s="177"/>
      <c r="F232" s="177"/>
      <c r="G232" s="180">
        <v>9325818.25</v>
      </c>
      <c r="H232" s="180"/>
    </row>
    <row r="233" spans="1:8" ht="12.75">
      <c r="A233" s="179" t="s">
        <v>780</v>
      </c>
      <c r="B233" s="179" t="s">
        <v>2044</v>
      </c>
      <c r="C233" s="173"/>
      <c r="D233" s="165" t="s">
        <v>792</v>
      </c>
      <c r="E233" s="177"/>
      <c r="F233" s="177"/>
      <c r="G233" s="180">
        <v>15736887.3</v>
      </c>
      <c r="H233" s="180"/>
    </row>
    <row r="234" spans="1:8" ht="12.75">
      <c r="A234" s="179" t="s">
        <v>780</v>
      </c>
      <c r="B234" s="179" t="s">
        <v>2018</v>
      </c>
      <c r="C234" s="174"/>
      <c r="D234" s="165" t="s">
        <v>793</v>
      </c>
      <c r="E234" s="177"/>
      <c r="F234" s="177"/>
      <c r="G234" s="180">
        <v>11754285.45</v>
      </c>
      <c r="H234" s="180"/>
    </row>
    <row r="235" spans="1:8" ht="12.75">
      <c r="A235" s="179" t="s">
        <v>780</v>
      </c>
      <c r="B235" s="179" t="s">
        <v>1696</v>
      </c>
      <c r="C235" s="174"/>
      <c r="D235" s="165" t="s">
        <v>794</v>
      </c>
      <c r="E235" s="177"/>
      <c r="F235" s="177"/>
      <c r="G235" s="180">
        <v>23313492.15</v>
      </c>
      <c r="H235" s="180"/>
    </row>
    <row r="236" spans="1:8" ht="12.75">
      <c r="A236" s="179" t="s">
        <v>780</v>
      </c>
      <c r="B236" s="179" t="s">
        <v>2032</v>
      </c>
      <c r="C236" s="174"/>
      <c r="D236" s="165" t="s">
        <v>795</v>
      </c>
      <c r="E236" s="177"/>
      <c r="F236" s="177"/>
      <c r="G236" s="180">
        <v>67420884.1</v>
      </c>
      <c r="H236" s="180"/>
    </row>
    <row r="237" spans="1:8" ht="12.75">
      <c r="A237" s="179" t="s">
        <v>780</v>
      </c>
      <c r="B237" s="179" t="s">
        <v>1038</v>
      </c>
      <c r="C237" s="174"/>
      <c r="D237" s="165" t="s">
        <v>796</v>
      </c>
      <c r="E237" s="177"/>
      <c r="F237" s="177"/>
      <c r="G237" s="180">
        <v>0</v>
      </c>
      <c r="H237" s="180"/>
    </row>
    <row r="238" spans="1:8" ht="12.75">
      <c r="A238" s="179" t="s">
        <v>780</v>
      </c>
      <c r="B238" s="179" t="s">
        <v>1040</v>
      </c>
      <c r="C238" s="174"/>
      <c r="D238" s="165" t="s">
        <v>797</v>
      </c>
      <c r="E238" s="177"/>
      <c r="F238" s="177"/>
      <c r="G238" s="180">
        <v>130035359.05</v>
      </c>
      <c r="H238" s="180"/>
    </row>
    <row r="239" spans="1:8" ht="12.75">
      <c r="A239" s="179" t="s">
        <v>780</v>
      </c>
      <c r="B239" s="179" t="s">
        <v>1042</v>
      </c>
      <c r="C239" s="174"/>
      <c r="D239" s="165" t="s">
        <v>1909</v>
      </c>
      <c r="E239" s="177"/>
      <c r="F239" s="177"/>
      <c r="G239" s="180">
        <v>5106966.05</v>
      </c>
      <c r="H239" s="180"/>
    </row>
    <row r="240" spans="1:8" ht="12.75">
      <c r="A240" s="179" t="s">
        <v>780</v>
      </c>
      <c r="B240" s="179" t="s">
        <v>1743</v>
      </c>
      <c r="C240" s="174"/>
      <c r="D240" s="165" t="s">
        <v>1910</v>
      </c>
      <c r="E240" s="177"/>
      <c r="F240" s="177"/>
      <c r="G240" s="180">
        <v>7841023.35</v>
      </c>
      <c r="H240" s="180"/>
    </row>
    <row r="241" spans="1:8" ht="12.75">
      <c r="A241" s="179" t="s">
        <v>780</v>
      </c>
      <c r="B241" s="179" t="s">
        <v>1045</v>
      </c>
      <c r="C241" s="173"/>
      <c r="D241" s="165" t="s">
        <v>197</v>
      </c>
      <c r="E241" s="177"/>
      <c r="F241" s="177"/>
      <c r="G241" s="180">
        <v>43965156.4</v>
      </c>
      <c r="H241" s="180"/>
    </row>
    <row r="242" spans="1:8" ht="12.75">
      <c r="A242" s="179" t="s">
        <v>780</v>
      </c>
      <c r="B242" s="179" t="s">
        <v>2034</v>
      </c>
      <c r="C242" s="173"/>
      <c r="D242" s="165" t="s">
        <v>198</v>
      </c>
      <c r="E242" s="177"/>
      <c r="F242" s="177"/>
      <c r="G242" s="180">
        <v>55233</v>
      </c>
      <c r="H242" s="180"/>
    </row>
    <row r="243" spans="1:8" ht="12.75">
      <c r="A243" s="179" t="s">
        <v>780</v>
      </c>
      <c r="B243" s="179" t="s">
        <v>1048</v>
      </c>
      <c r="C243" s="174"/>
      <c r="D243" s="165" t="s">
        <v>199</v>
      </c>
      <c r="E243" s="177"/>
      <c r="F243" s="177"/>
      <c r="G243" s="180">
        <v>0</v>
      </c>
      <c r="H243" s="180"/>
    </row>
    <row r="244" spans="1:8" ht="12.75">
      <c r="A244" s="179" t="s">
        <v>780</v>
      </c>
      <c r="B244" s="179" t="s">
        <v>1050</v>
      </c>
      <c r="C244" s="174"/>
      <c r="D244" s="165" t="s">
        <v>200</v>
      </c>
      <c r="E244" s="177"/>
      <c r="F244" s="177"/>
      <c r="G244" s="180">
        <v>0</v>
      </c>
      <c r="H244" s="180"/>
    </row>
    <row r="245" spans="1:8" ht="12.75">
      <c r="A245" s="179" t="s">
        <v>780</v>
      </c>
      <c r="B245" s="179" t="s">
        <v>1052</v>
      </c>
      <c r="C245" s="174"/>
      <c r="D245" s="165" t="s">
        <v>201</v>
      </c>
      <c r="E245" s="177"/>
      <c r="F245" s="177"/>
      <c r="G245" s="180">
        <v>19128446.3</v>
      </c>
      <c r="H245" s="180"/>
    </row>
    <row r="246" spans="1:8" ht="12.75">
      <c r="A246" s="179" t="s">
        <v>780</v>
      </c>
      <c r="B246" s="179" t="s">
        <v>1057</v>
      </c>
      <c r="C246" s="173"/>
      <c r="D246" s="165" t="s">
        <v>202</v>
      </c>
      <c r="E246" s="177"/>
      <c r="F246" s="177"/>
      <c r="G246" s="180">
        <v>0</v>
      </c>
      <c r="H246" s="180"/>
    </row>
    <row r="247" spans="1:8" ht="12.75">
      <c r="A247" s="179" t="s">
        <v>780</v>
      </c>
      <c r="B247" s="179" t="s">
        <v>1059</v>
      </c>
      <c r="C247" s="173"/>
      <c r="D247" s="165" t="s">
        <v>203</v>
      </c>
      <c r="E247" s="177"/>
      <c r="F247" s="177"/>
      <c r="G247" s="180">
        <v>21081777.7</v>
      </c>
      <c r="H247" s="180"/>
    </row>
    <row r="248" spans="1:8" ht="12.75">
      <c r="A248" s="179" t="s">
        <v>780</v>
      </c>
      <c r="B248" s="179" t="s">
        <v>2036</v>
      </c>
      <c r="C248" s="174"/>
      <c r="D248" s="165" t="s">
        <v>204</v>
      </c>
      <c r="E248" s="177"/>
      <c r="F248" s="177"/>
      <c r="G248" s="180">
        <v>2690318.05</v>
      </c>
      <c r="H248" s="180"/>
    </row>
    <row r="249" spans="1:8" ht="12.75">
      <c r="A249" s="179" t="s">
        <v>780</v>
      </c>
      <c r="B249" s="179" t="s">
        <v>1062</v>
      </c>
      <c r="C249" s="173"/>
      <c r="D249" s="165" t="s">
        <v>205</v>
      </c>
      <c r="E249" s="177"/>
      <c r="F249" s="177"/>
      <c r="G249" s="180">
        <v>0</v>
      </c>
      <c r="H249" s="180"/>
    </row>
    <row r="250" spans="1:8" ht="12.75">
      <c r="A250" s="179" t="s">
        <v>780</v>
      </c>
      <c r="B250" s="179" t="s">
        <v>1064</v>
      </c>
      <c r="C250" s="173"/>
      <c r="D250" s="165" t="s">
        <v>206</v>
      </c>
      <c r="E250" s="177"/>
      <c r="F250" s="177"/>
      <c r="G250" s="180">
        <v>39518.35</v>
      </c>
      <c r="H250" s="180"/>
    </row>
    <row r="251" spans="1:8" ht="12.75">
      <c r="A251" s="179" t="s">
        <v>780</v>
      </c>
      <c r="B251" s="179" t="s">
        <v>1066</v>
      </c>
      <c r="C251" s="174"/>
      <c r="D251" s="165" t="s">
        <v>207</v>
      </c>
      <c r="E251" s="177"/>
      <c r="F251" s="177"/>
      <c r="G251" s="180">
        <v>295242.35</v>
      </c>
      <c r="H251" s="180"/>
    </row>
    <row r="252" spans="1:8" ht="12.75">
      <c r="A252" s="179" t="s">
        <v>780</v>
      </c>
      <c r="B252" s="179" t="s">
        <v>778</v>
      </c>
      <c r="C252" s="174"/>
      <c r="D252" s="165" t="s">
        <v>208</v>
      </c>
      <c r="E252" s="177"/>
      <c r="F252" s="177"/>
      <c r="G252" s="180">
        <v>1188584.75</v>
      </c>
      <c r="H252" s="180"/>
    </row>
    <row r="253" spans="1:8" ht="12.75">
      <c r="A253" s="179" t="s">
        <v>209</v>
      </c>
      <c r="B253" s="179" t="s">
        <v>1159</v>
      </c>
      <c r="C253" s="174"/>
      <c r="D253" s="165" t="s">
        <v>210</v>
      </c>
      <c r="E253" s="177"/>
      <c r="F253" s="177"/>
      <c r="G253" s="180">
        <v>23362078.75</v>
      </c>
      <c r="H253" s="180"/>
    </row>
    <row r="254" spans="1:8" ht="12.75">
      <c r="A254" s="179" t="s">
        <v>209</v>
      </c>
      <c r="B254" s="179" t="s">
        <v>1161</v>
      </c>
      <c r="C254" s="173"/>
      <c r="D254" s="165" t="s">
        <v>211</v>
      </c>
      <c r="E254" s="177"/>
      <c r="F254" s="177"/>
      <c r="G254" s="180">
        <v>5973602.01</v>
      </c>
      <c r="H254" s="180"/>
    </row>
    <row r="255" spans="1:8" ht="12.75">
      <c r="A255" s="179" t="s">
        <v>209</v>
      </c>
      <c r="B255" s="179" t="s">
        <v>1163</v>
      </c>
      <c r="C255" s="173"/>
      <c r="D255" s="165" t="s">
        <v>212</v>
      </c>
      <c r="E255" s="177"/>
      <c r="F255" s="177"/>
      <c r="G255" s="180">
        <v>9710181.96</v>
      </c>
      <c r="H255" s="180"/>
    </row>
    <row r="256" spans="1:8" ht="12.75">
      <c r="A256" s="179" t="s">
        <v>209</v>
      </c>
      <c r="B256" s="179" t="s">
        <v>1165</v>
      </c>
      <c r="C256" s="174"/>
      <c r="D256" s="165" t="s">
        <v>213</v>
      </c>
      <c r="E256" s="177"/>
      <c r="F256" s="177"/>
      <c r="G256" s="180">
        <v>13745520.63</v>
      </c>
      <c r="H256" s="180"/>
    </row>
    <row r="257" spans="1:8" ht="12.75">
      <c r="A257" s="179" t="s">
        <v>209</v>
      </c>
      <c r="B257" s="179" t="s">
        <v>1167</v>
      </c>
      <c r="C257" s="174"/>
      <c r="D257" s="165" t="s">
        <v>214</v>
      </c>
      <c r="E257" s="177"/>
      <c r="F257" s="177"/>
      <c r="G257" s="180">
        <v>0</v>
      </c>
      <c r="H257" s="180"/>
    </row>
    <row r="258" spans="1:8" ht="12.75">
      <c r="A258" s="179" t="s">
        <v>209</v>
      </c>
      <c r="B258" s="179" t="s">
        <v>1169</v>
      </c>
      <c r="C258" s="174"/>
      <c r="D258" s="165" t="s">
        <v>215</v>
      </c>
      <c r="E258" s="177"/>
      <c r="F258" s="177"/>
      <c r="G258" s="180">
        <v>8060959.31</v>
      </c>
      <c r="H258" s="180"/>
    </row>
    <row r="259" spans="1:8" ht="12.75">
      <c r="A259" s="179" t="s">
        <v>209</v>
      </c>
      <c r="B259" s="179" t="s">
        <v>1</v>
      </c>
      <c r="C259" s="173"/>
      <c r="D259" s="165" t="s">
        <v>216</v>
      </c>
      <c r="E259" s="177"/>
      <c r="F259" s="177"/>
      <c r="G259" s="180">
        <v>8260481.44</v>
      </c>
      <c r="H259" s="180"/>
    </row>
    <row r="260" spans="1:8" ht="12.75">
      <c r="A260" s="179" t="s">
        <v>209</v>
      </c>
      <c r="B260" s="179" t="s">
        <v>728</v>
      </c>
      <c r="C260" s="174"/>
      <c r="D260" s="165" t="s">
        <v>217</v>
      </c>
      <c r="E260" s="177"/>
      <c r="F260" s="177"/>
      <c r="G260" s="187">
        <v>3226128.72</v>
      </c>
      <c r="H260" s="180"/>
    </row>
    <row r="261" spans="1:8" ht="12.75">
      <c r="A261" s="179" t="s">
        <v>209</v>
      </c>
      <c r="B261" s="179" t="s">
        <v>2041</v>
      </c>
      <c r="C261" s="174"/>
      <c r="D261" s="165" t="s">
        <v>218</v>
      </c>
      <c r="E261" s="177"/>
      <c r="F261" s="177"/>
      <c r="G261" s="180">
        <v>45025621.75</v>
      </c>
      <c r="H261" s="180"/>
    </row>
    <row r="262" spans="1:8" ht="12.75">
      <c r="A262" s="179" t="s">
        <v>209</v>
      </c>
      <c r="B262" s="179" t="s">
        <v>731</v>
      </c>
      <c r="C262" s="174"/>
      <c r="D262" s="165" t="s">
        <v>219</v>
      </c>
      <c r="E262" s="177"/>
      <c r="F262" s="177"/>
      <c r="G262" s="180">
        <v>5405236.8</v>
      </c>
      <c r="H262" s="180"/>
    </row>
    <row r="263" spans="1:8" ht="12.75">
      <c r="A263" s="179" t="s">
        <v>209</v>
      </c>
      <c r="B263" s="179" t="s">
        <v>2023</v>
      </c>
      <c r="C263" s="174"/>
      <c r="D263" s="165" t="s">
        <v>220</v>
      </c>
      <c r="E263" s="177"/>
      <c r="F263" s="177"/>
      <c r="G263" s="180">
        <v>21568241.53</v>
      </c>
      <c r="H263" s="180"/>
    </row>
    <row r="264" spans="1:8" ht="12.75">
      <c r="A264" s="179" t="s">
        <v>209</v>
      </c>
      <c r="B264" s="179" t="s">
        <v>2044</v>
      </c>
      <c r="C264" s="173"/>
      <c r="D264" s="165" t="s">
        <v>221</v>
      </c>
      <c r="E264" s="177"/>
      <c r="F264" s="177"/>
      <c r="G264" s="180">
        <v>23958855.49</v>
      </c>
      <c r="H264" s="180"/>
    </row>
    <row r="265" spans="1:8" ht="12.75">
      <c r="A265" s="179" t="s">
        <v>209</v>
      </c>
      <c r="B265" s="179" t="s">
        <v>2018</v>
      </c>
      <c r="C265" s="174"/>
      <c r="D265" s="165" t="s">
        <v>222</v>
      </c>
      <c r="E265" s="177"/>
      <c r="F265" s="177"/>
      <c r="G265" s="180">
        <v>27811788.38</v>
      </c>
      <c r="H265" s="180"/>
    </row>
    <row r="266" spans="1:8" ht="12.75">
      <c r="A266" s="179" t="s">
        <v>209</v>
      </c>
      <c r="B266" s="179" t="s">
        <v>1696</v>
      </c>
      <c r="C266" s="174"/>
      <c r="D266" s="165" t="s">
        <v>223</v>
      </c>
      <c r="E266" s="177"/>
      <c r="F266" s="177"/>
      <c r="G266" s="180">
        <v>31039067.92</v>
      </c>
      <c r="H266" s="180"/>
    </row>
    <row r="267" spans="1:8" ht="12.75">
      <c r="A267" s="179" t="s">
        <v>209</v>
      </c>
      <c r="B267" s="179" t="s">
        <v>2032</v>
      </c>
      <c r="C267" s="174"/>
      <c r="D267" s="165" t="s">
        <v>224</v>
      </c>
      <c r="E267" s="177"/>
      <c r="F267" s="177"/>
      <c r="G267" s="180">
        <v>38436529.92</v>
      </c>
      <c r="H267" s="180"/>
    </row>
    <row r="268" spans="1:8" ht="12.75">
      <c r="A268" s="179" t="s">
        <v>209</v>
      </c>
      <c r="B268" s="179" t="s">
        <v>1038</v>
      </c>
      <c r="C268" s="174"/>
      <c r="D268" s="165" t="s">
        <v>444</v>
      </c>
      <c r="E268" s="177"/>
      <c r="F268" s="177"/>
      <c r="G268" s="180">
        <v>0</v>
      </c>
      <c r="H268" s="180"/>
    </row>
    <row r="269" spans="1:8" ht="12.75">
      <c r="A269" s="179" t="s">
        <v>209</v>
      </c>
      <c r="B269" s="179" t="s">
        <v>1040</v>
      </c>
      <c r="C269" s="174"/>
      <c r="D269" s="165" t="s">
        <v>445</v>
      </c>
      <c r="E269" s="177"/>
      <c r="F269" s="177"/>
      <c r="G269" s="180">
        <v>59648743.73</v>
      </c>
      <c r="H269" s="180"/>
    </row>
    <row r="270" spans="1:8" ht="12.75">
      <c r="A270" s="179" t="s">
        <v>209</v>
      </c>
      <c r="B270" s="179" t="s">
        <v>1042</v>
      </c>
      <c r="C270" s="174"/>
      <c r="D270" s="165" t="s">
        <v>446</v>
      </c>
      <c r="E270" s="177"/>
      <c r="F270" s="177"/>
      <c r="G270" s="180">
        <v>9723006.7</v>
      </c>
      <c r="H270" s="180"/>
    </row>
    <row r="271" spans="1:8" ht="12.75">
      <c r="A271" s="179" t="s">
        <v>209</v>
      </c>
      <c r="B271" s="179" t="s">
        <v>1743</v>
      </c>
      <c r="C271" s="174"/>
      <c r="D271" s="165" t="s">
        <v>447</v>
      </c>
      <c r="E271" s="177"/>
      <c r="F271" s="177"/>
      <c r="G271" s="180">
        <v>10063909.64</v>
      </c>
      <c r="H271" s="180"/>
    </row>
    <row r="272" spans="1:8" ht="12.75">
      <c r="A272" s="179" t="s">
        <v>209</v>
      </c>
      <c r="B272" s="179" t="s">
        <v>1045</v>
      </c>
      <c r="C272" s="173"/>
      <c r="D272" s="165" t="s">
        <v>448</v>
      </c>
      <c r="E272" s="177"/>
      <c r="F272" s="177"/>
      <c r="G272" s="180">
        <v>41795973.95</v>
      </c>
      <c r="H272" s="180"/>
    </row>
    <row r="273" spans="1:8" ht="12.75">
      <c r="A273" s="179" t="s">
        <v>209</v>
      </c>
      <c r="B273" s="179" t="s">
        <v>2034</v>
      </c>
      <c r="C273" s="173"/>
      <c r="D273" s="165" t="s">
        <v>449</v>
      </c>
      <c r="E273" s="177"/>
      <c r="F273" s="177"/>
      <c r="G273" s="180">
        <v>2117281.92</v>
      </c>
      <c r="H273" s="180"/>
    </row>
    <row r="274" spans="1:8" ht="12.75">
      <c r="A274" s="179" t="s">
        <v>209</v>
      </c>
      <c r="B274" s="179" t="s">
        <v>1048</v>
      </c>
      <c r="C274" s="174"/>
      <c r="D274" s="165" t="s">
        <v>450</v>
      </c>
      <c r="E274" s="177"/>
      <c r="F274" s="177"/>
      <c r="G274" s="180">
        <v>3113649.9</v>
      </c>
      <c r="H274" s="180"/>
    </row>
    <row r="275" spans="1:8" ht="12.75">
      <c r="A275" s="179" t="s">
        <v>209</v>
      </c>
      <c r="B275" s="179" t="s">
        <v>1050</v>
      </c>
      <c r="C275" s="174"/>
      <c r="D275" s="165" t="s">
        <v>451</v>
      </c>
      <c r="E275" s="177"/>
      <c r="F275" s="177"/>
      <c r="G275" s="180">
        <v>3707347.48</v>
      </c>
      <c r="H275" s="180"/>
    </row>
    <row r="276" spans="1:8" ht="12.75">
      <c r="A276" s="179" t="s">
        <v>209</v>
      </c>
      <c r="B276" s="179" t="s">
        <v>1052</v>
      </c>
      <c r="C276" s="174"/>
      <c r="D276" s="165" t="s">
        <v>452</v>
      </c>
      <c r="E276" s="177"/>
      <c r="F276" s="177"/>
      <c r="G276" s="180">
        <v>20751373.58</v>
      </c>
      <c r="H276" s="180"/>
    </row>
    <row r="277" spans="1:8" ht="12.75">
      <c r="A277" s="179" t="s">
        <v>209</v>
      </c>
      <c r="B277" s="179" t="s">
        <v>1057</v>
      </c>
      <c r="C277" s="173"/>
      <c r="D277" s="165" t="s">
        <v>1345</v>
      </c>
      <c r="E277" s="177"/>
      <c r="F277" s="177"/>
      <c r="G277" s="180">
        <v>5952952.32</v>
      </c>
      <c r="H277" s="180"/>
    </row>
    <row r="278" spans="1:8" ht="12.75">
      <c r="A278" s="179" t="s">
        <v>209</v>
      </c>
      <c r="B278" s="179" t="s">
        <v>1059</v>
      </c>
      <c r="C278" s="173"/>
      <c r="D278" s="165" t="s">
        <v>1346</v>
      </c>
      <c r="E278" s="177"/>
      <c r="F278" s="177"/>
      <c r="G278" s="180">
        <v>9829691.32</v>
      </c>
      <c r="H278" s="180"/>
    </row>
    <row r="279" spans="1:8" ht="12.75">
      <c r="A279" s="179" t="s">
        <v>209</v>
      </c>
      <c r="B279" s="179" t="s">
        <v>2036</v>
      </c>
      <c r="C279" s="174"/>
      <c r="D279" s="165" t="s">
        <v>1347</v>
      </c>
      <c r="E279" s="177"/>
      <c r="F279" s="177"/>
      <c r="G279" s="180">
        <v>8825258.94</v>
      </c>
      <c r="H279" s="180"/>
    </row>
    <row r="280" spans="1:8" ht="12.75">
      <c r="A280" s="179" t="s">
        <v>209</v>
      </c>
      <c r="B280" s="179" t="s">
        <v>1062</v>
      </c>
      <c r="C280" s="173"/>
      <c r="D280" s="165" t="s">
        <v>1348</v>
      </c>
      <c r="E280" s="177"/>
      <c r="F280" s="177"/>
      <c r="G280" s="180">
        <v>3405128.46</v>
      </c>
      <c r="H280" s="180"/>
    </row>
    <row r="281" spans="1:8" ht="12.75">
      <c r="A281" s="179" t="s">
        <v>209</v>
      </c>
      <c r="B281" s="179" t="s">
        <v>1064</v>
      </c>
      <c r="C281" s="173"/>
      <c r="D281" s="165" t="s">
        <v>1349</v>
      </c>
      <c r="E281" s="177"/>
      <c r="F281" s="177"/>
      <c r="G281" s="180">
        <v>10312418.72</v>
      </c>
      <c r="H281" s="180"/>
    </row>
    <row r="282" spans="1:8" ht="12.75">
      <c r="A282" s="179" t="s">
        <v>209</v>
      </c>
      <c r="B282" s="179" t="s">
        <v>1066</v>
      </c>
      <c r="C282" s="174"/>
      <c r="D282" s="165" t="s">
        <v>1350</v>
      </c>
      <c r="E282" s="177"/>
      <c r="F282" s="177"/>
      <c r="G282" s="180">
        <v>7862597.77</v>
      </c>
      <c r="H282" s="180"/>
    </row>
    <row r="283" spans="1:8" ht="12.75">
      <c r="A283" s="179" t="s">
        <v>209</v>
      </c>
      <c r="B283" s="179" t="s">
        <v>778</v>
      </c>
      <c r="C283" s="174"/>
      <c r="D283" s="165" t="s">
        <v>1351</v>
      </c>
      <c r="E283" s="177"/>
      <c r="F283" s="177"/>
      <c r="G283" s="180">
        <v>6285437.74</v>
      </c>
      <c r="H283" s="180"/>
    </row>
    <row r="284" spans="1:8" ht="12.75">
      <c r="A284" s="179" t="s">
        <v>1352</v>
      </c>
      <c r="B284" s="179" t="s">
        <v>1064</v>
      </c>
      <c r="C284" s="174"/>
      <c r="D284" s="165" t="s">
        <v>1353</v>
      </c>
      <c r="E284" s="177"/>
      <c r="F284" s="177"/>
      <c r="G284" s="180">
        <v>76606252</v>
      </c>
      <c r="H284" s="180"/>
    </row>
    <row r="285" spans="1:8" ht="12.75">
      <c r="A285" s="179" t="s">
        <v>1354</v>
      </c>
      <c r="B285" s="179" t="s">
        <v>1159</v>
      </c>
      <c r="C285" s="173"/>
      <c r="D285" s="165" t="s">
        <v>1355</v>
      </c>
      <c r="E285" s="177"/>
      <c r="F285" s="177"/>
      <c r="G285" s="180">
        <v>991627.2</v>
      </c>
      <c r="H285" s="180"/>
    </row>
    <row r="286" spans="1:8" ht="12.75">
      <c r="A286" s="179" t="s">
        <v>1354</v>
      </c>
      <c r="B286" s="179" t="s">
        <v>1161</v>
      </c>
      <c r="C286" s="174"/>
      <c r="D286" s="165" t="s">
        <v>1356</v>
      </c>
      <c r="E286" s="177"/>
      <c r="F286" s="177"/>
      <c r="G286" s="180">
        <v>1034360.4</v>
      </c>
      <c r="H286" s="180"/>
    </row>
    <row r="287" spans="1:8" ht="12.75">
      <c r="A287" s="179" t="s">
        <v>1354</v>
      </c>
      <c r="B287" s="179" t="s">
        <v>1163</v>
      </c>
      <c r="C287" s="173"/>
      <c r="D287" s="165" t="s">
        <v>1357</v>
      </c>
      <c r="E287" s="177"/>
      <c r="F287" s="177"/>
      <c r="G287" s="180">
        <v>743550</v>
      </c>
      <c r="H287" s="180"/>
    </row>
    <row r="288" spans="1:8" ht="12.75">
      <c r="A288" s="179" t="s">
        <v>1354</v>
      </c>
      <c r="B288" s="179" t="s">
        <v>1165</v>
      </c>
      <c r="C288" s="174"/>
      <c r="D288" s="165" t="s">
        <v>1358</v>
      </c>
      <c r="E288" s="177"/>
      <c r="F288" s="177"/>
      <c r="G288" s="180">
        <v>743550</v>
      </c>
      <c r="H288" s="180"/>
    </row>
    <row r="289" spans="1:8" ht="12.75">
      <c r="A289" s="179" t="s">
        <v>1354</v>
      </c>
      <c r="B289" s="179" t="s">
        <v>1167</v>
      </c>
      <c r="C289" s="174"/>
      <c r="D289" s="165" t="s">
        <v>1359</v>
      </c>
      <c r="E289" s="177"/>
      <c r="F289" s="177"/>
      <c r="G289" s="180">
        <v>0</v>
      </c>
      <c r="H289" s="180"/>
    </row>
    <row r="290" spans="1:8" ht="12.75">
      <c r="A290" s="179" t="s">
        <v>1354</v>
      </c>
      <c r="B290" s="179" t="s">
        <v>1169</v>
      </c>
      <c r="C290" s="174"/>
      <c r="D290" s="165" t="s">
        <v>1360</v>
      </c>
      <c r="E290" s="177"/>
      <c r="F290" s="177"/>
      <c r="G290" s="180">
        <v>784477.2</v>
      </c>
      <c r="H290" s="180"/>
    </row>
    <row r="291" spans="1:8" ht="12.75">
      <c r="A291" s="179" t="s">
        <v>1354</v>
      </c>
      <c r="B291" s="179" t="s">
        <v>1</v>
      </c>
      <c r="C291" s="173"/>
      <c r="D291" s="165" t="s">
        <v>1361</v>
      </c>
      <c r="E291" s="177"/>
      <c r="F291" s="177"/>
      <c r="G291" s="180">
        <v>886891</v>
      </c>
      <c r="H291" s="180"/>
    </row>
    <row r="292" spans="1:8" ht="12.75">
      <c r="A292" s="179" t="s">
        <v>1354</v>
      </c>
      <c r="B292" s="179" t="s">
        <v>728</v>
      </c>
      <c r="C292" s="174"/>
      <c r="D292" s="165" t="s">
        <v>1362</v>
      </c>
      <c r="E292" s="177"/>
      <c r="F292" s="177"/>
      <c r="G292" s="180">
        <v>729818.4</v>
      </c>
      <c r="H292" s="180"/>
    </row>
    <row r="293" spans="1:8" ht="12.75">
      <c r="A293" s="179" t="s">
        <v>1354</v>
      </c>
      <c r="B293" s="179" t="s">
        <v>2041</v>
      </c>
      <c r="C293" s="174"/>
      <c r="D293" s="165" t="s">
        <v>1363</v>
      </c>
      <c r="E293" s="177"/>
      <c r="F293" s="177"/>
      <c r="G293" s="180">
        <v>13572620.8</v>
      </c>
      <c r="H293" s="180"/>
    </row>
    <row r="294" spans="1:8" ht="12.75">
      <c r="A294" s="179" t="s">
        <v>1354</v>
      </c>
      <c r="B294" s="179" t="s">
        <v>731</v>
      </c>
      <c r="C294" s="174"/>
      <c r="D294" s="165" t="s">
        <v>1364</v>
      </c>
      <c r="E294" s="177"/>
      <c r="F294" s="177"/>
      <c r="G294" s="180">
        <v>893398.8</v>
      </c>
      <c r="H294" s="180"/>
    </row>
    <row r="295" spans="1:8" ht="12.75">
      <c r="A295" s="179" t="s">
        <v>1354</v>
      </c>
      <c r="B295" s="179" t="s">
        <v>2023</v>
      </c>
      <c r="C295" s="174"/>
      <c r="D295" s="165" t="s">
        <v>1365</v>
      </c>
      <c r="E295" s="177"/>
      <c r="F295" s="177"/>
      <c r="G295" s="180">
        <v>29161466.4</v>
      </c>
      <c r="H295" s="180"/>
    </row>
    <row r="296" spans="1:8" ht="12.75">
      <c r="A296" s="179" t="s">
        <v>1354</v>
      </c>
      <c r="B296" s="179" t="s">
        <v>2044</v>
      </c>
      <c r="C296" s="173"/>
      <c r="D296" s="165" t="s">
        <v>1366</v>
      </c>
      <c r="E296" s="177"/>
      <c r="F296" s="177"/>
      <c r="G296" s="180">
        <v>33894469.6</v>
      </c>
      <c r="H296" s="180"/>
    </row>
    <row r="297" spans="1:8" ht="12.75">
      <c r="A297" s="179" t="s">
        <v>1354</v>
      </c>
      <c r="B297" s="179" t="s">
        <v>2018</v>
      </c>
      <c r="C297" s="174"/>
      <c r="D297" s="165" t="s">
        <v>1367</v>
      </c>
      <c r="E297" s="177"/>
      <c r="F297" s="177"/>
      <c r="G297" s="180">
        <v>39420610.4</v>
      </c>
      <c r="H297" s="180"/>
    </row>
    <row r="298" spans="1:8" ht="12.75">
      <c r="A298" s="179" t="s">
        <v>1354</v>
      </c>
      <c r="B298" s="179" t="s">
        <v>1696</v>
      </c>
      <c r="C298" s="174"/>
      <c r="D298" s="165" t="s">
        <v>1435</v>
      </c>
      <c r="E298" s="177"/>
      <c r="F298" s="177"/>
      <c r="G298" s="180">
        <v>40298637.6</v>
      </c>
      <c r="H298" s="180"/>
    </row>
    <row r="299" spans="1:8" ht="12.75">
      <c r="A299" s="179" t="s">
        <v>1354</v>
      </c>
      <c r="B299" s="179" t="s">
        <v>2032</v>
      </c>
      <c r="C299" s="174"/>
      <c r="D299" s="165" t="s">
        <v>1436</v>
      </c>
      <c r="E299" s="177"/>
      <c r="F299" s="177"/>
      <c r="G299" s="180">
        <v>729818.4</v>
      </c>
      <c r="H299" s="180"/>
    </row>
    <row r="300" spans="1:8" ht="12.75">
      <c r="A300" s="179" t="s">
        <v>1354</v>
      </c>
      <c r="B300" s="179" t="s">
        <v>1038</v>
      </c>
      <c r="C300" s="174"/>
      <c r="D300" s="165" t="s">
        <v>1437</v>
      </c>
      <c r="E300" s="177"/>
      <c r="F300" s="177"/>
      <c r="G300" s="180">
        <v>0</v>
      </c>
      <c r="H300" s="180"/>
    </row>
    <row r="301" spans="1:8" ht="12.75">
      <c r="A301" s="179" t="s">
        <v>1354</v>
      </c>
      <c r="B301" s="179" t="s">
        <v>1040</v>
      </c>
      <c r="C301" s="174"/>
      <c r="D301" s="165" t="s">
        <v>1438</v>
      </c>
      <c r="E301" s="177"/>
      <c r="F301" s="177"/>
      <c r="G301" s="180">
        <v>14459348</v>
      </c>
      <c r="H301" s="180"/>
    </row>
    <row r="302" spans="1:8" ht="12.75">
      <c r="A302" s="179" t="s">
        <v>1354</v>
      </c>
      <c r="B302" s="179" t="s">
        <v>1042</v>
      </c>
      <c r="C302" s="174"/>
      <c r="D302" s="165" t="s">
        <v>1439</v>
      </c>
      <c r="E302" s="177"/>
      <c r="F302" s="177"/>
      <c r="G302" s="180">
        <v>743550</v>
      </c>
      <c r="H302" s="180"/>
    </row>
    <row r="303" spans="1:8" ht="12.75">
      <c r="A303" s="179" t="s">
        <v>1354</v>
      </c>
      <c r="B303" s="179" t="s">
        <v>1743</v>
      </c>
      <c r="C303" s="174"/>
      <c r="D303" s="165" t="s">
        <v>1440</v>
      </c>
      <c r="E303" s="177"/>
      <c r="F303" s="177"/>
      <c r="G303" s="180">
        <v>743550</v>
      </c>
      <c r="H303" s="180"/>
    </row>
    <row r="304" spans="1:8" ht="12.75">
      <c r="A304" s="179" t="s">
        <v>1354</v>
      </c>
      <c r="B304" s="179" t="s">
        <v>1045</v>
      </c>
      <c r="C304" s="173"/>
      <c r="D304" s="165" t="s">
        <v>1441</v>
      </c>
      <c r="E304" s="177"/>
      <c r="F304" s="177"/>
      <c r="G304" s="180">
        <v>10193797.2</v>
      </c>
      <c r="H304" s="180"/>
    </row>
    <row r="305" spans="1:8" ht="12.75">
      <c r="A305" s="179" t="s">
        <v>1354</v>
      </c>
      <c r="B305" s="179" t="s">
        <v>2034</v>
      </c>
      <c r="C305" s="173"/>
      <c r="D305" s="165" t="s">
        <v>1442</v>
      </c>
      <c r="E305" s="177"/>
      <c r="F305" s="177"/>
      <c r="G305" s="180">
        <v>0</v>
      </c>
      <c r="H305" s="180"/>
    </row>
    <row r="306" spans="1:8" ht="12.75">
      <c r="A306" s="179" t="s">
        <v>1354</v>
      </c>
      <c r="B306" s="179" t="s">
        <v>1048</v>
      </c>
      <c r="C306" s="174"/>
      <c r="D306" s="165" t="s">
        <v>1443</v>
      </c>
      <c r="E306" s="177"/>
      <c r="F306" s="177"/>
      <c r="G306" s="180">
        <v>805166.4</v>
      </c>
      <c r="H306" s="180"/>
    </row>
    <row r="307" spans="1:8" ht="12.75">
      <c r="A307" s="179" t="s">
        <v>1354</v>
      </c>
      <c r="B307" s="179" t="s">
        <v>1050</v>
      </c>
      <c r="C307" s="174"/>
      <c r="D307" s="165" t="s">
        <v>1444</v>
      </c>
      <c r="E307" s="177"/>
      <c r="F307" s="177"/>
      <c r="G307" s="180">
        <v>970338</v>
      </c>
      <c r="H307" s="180"/>
    </row>
    <row r="308" spans="1:8" ht="12.75">
      <c r="A308" s="179" t="s">
        <v>1354</v>
      </c>
      <c r="B308" s="179" t="s">
        <v>1052</v>
      </c>
      <c r="C308" s="174"/>
      <c r="D308" s="165" t="s">
        <v>900</v>
      </c>
      <c r="E308" s="177"/>
      <c r="F308" s="177"/>
      <c r="G308" s="180">
        <v>17198245.6</v>
      </c>
      <c r="H308" s="180"/>
    </row>
    <row r="309" spans="1:8" ht="12.75">
      <c r="A309" s="179" t="s">
        <v>1354</v>
      </c>
      <c r="B309" s="179" t="s">
        <v>1057</v>
      </c>
      <c r="C309" s="173"/>
      <c r="D309" s="165" t="s">
        <v>901</v>
      </c>
      <c r="E309" s="177"/>
      <c r="F309" s="177"/>
      <c r="G309" s="180">
        <v>930146</v>
      </c>
      <c r="H309" s="180"/>
    </row>
    <row r="310" spans="1:8" ht="12.75">
      <c r="A310" s="179" t="s">
        <v>1354</v>
      </c>
      <c r="B310" s="179" t="s">
        <v>1059</v>
      </c>
      <c r="C310" s="173"/>
      <c r="D310" s="165" t="s">
        <v>902</v>
      </c>
      <c r="E310" s="177"/>
      <c r="F310" s="177"/>
      <c r="G310" s="180">
        <v>0</v>
      </c>
      <c r="H310" s="180"/>
    </row>
    <row r="311" spans="1:8" ht="12.75">
      <c r="A311" s="179" t="s">
        <v>1354</v>
      </c>
      <c r="B311" s="179" t="s">
        <v>2036</v>
      </c>
      <c r="C311" s="174"/>
      <c r="D311" s="165" t="s">
        <v>903</v>
      </c>
      <c r="E311" s="177"/>
      <c r="F311" s="177"/>
      <c r="G311" s="180">
        <v>729818.4</v>
      </c>
      <c r="H311" s="180"/>
    </row>
    <row r="312" spans="1:8" ht="12.75">
      <c r="A312" s="179" t="s">
        <v>1354</v>
      </c>
      <c r="B312" s="179" t="s">
        <v>1062</v>
      </c>
      <c r="C312" s="173"/>
      <c r="D312" s="165" t="s">
        <v>904</v>
      </c>
      <c r="E312" s="177"/>
      <c r="F312" s="177"/>
      <c r="G312" s="180">
        <v>729818.4</v>
      </c>
      <c r="H312" s="180"/>
    </row>
    <row r="313" spans="1:8" ht="12.75">
      <c r="A313" s="179" t="s">
        <v>1354</v>
      </c>
      <c r="B313" s="179" t="s">
        <v>1064</v>
      </c>
      <c r="C313" s="173"/>
      <c r="D313" s="165" t="s">
        <v>905</v>
      </c>
      <c r="E313" s="177"/>
      <c r="F313" s="177"/>
      <c r="G313" s="180">
        <v>0</v>
      </c>
      <c r="H313" s="180"/>
    </row>
    <row r="314" spans="1:8" ht="12.75">
      <c r="A314" s="179" t="s">
        <v>1354</v>
      </c>
      <c r="B314" s="179" t="s">
        <v>1066</v>
      </c>
      <c r="C314" s="174"/>
      <c r="D314" s="165" t="s">
        <v>906</v>
      </c>
      <c r="E314" s="177"/>
      <c r="F314" s="177"/>
      <c r="G314" s="180">
        <v>784477</v>
      </c>
      <c r="H314" s="180"/>
    </row>
    <row r="315" spans="1:8" ht="12.75">
      <c r="A315" s="179" t="s">
        <v>1354</v>
      </c>
      <c r="B315" s="179" t="s">
        <v>778</v>
      </c>
      <c r="C315" s="174"/>
      <c r="D315" s="165" t="s">
        <v>907</v>
      </c>
      <c r="E315" s="177"/>
      <c r="F315" s="177"/>
      <c r="G315" s="180">
        <v>743550</v>
      </c>
      <c r="H315" s="180"/>
    </row>
    <row r="316" spans="1:8" ht="12.75">
      <c r="A316" s="179" t="s">
        <v>908</v>
      </c>
      <c r="B316" s="179" t="s">
        <v>1064</v>
      </c>
      <c r="C316" s="174"/>
      <c r="D316" s="165" t="s">
        <v>909</v>
      </c>
      <c r="E316" s="177"/>
      <c r="F316" s="177"/>
      <c r="G316" s="180">
        <v>96778175</v>
      </c>
      <c r="H316" s="180"/>
    </row>
    <row r="317" spans="1:8" ht="12.75">
      <c r="A317" s="179" t="s">
        <v>910</v>
      </c>
      <c r="B317" s="179" t="s">
        <v>1159</v>
      </c>
      <c r="C317" s="173"/>
      <c r="D317" s="165" t="s">
        <v>911</v>
      </c>
      <c r="E317" s="177"/>
      <c r="F317" s="177"/>
      <c r="G317" s="180">
        <v>68943839.26</v>
      </c>
      <c r="H317" s="180"/>
    </row>
    <row r="318" spans="1:8" ht="12.75">
      <c r="A318" s="179" t="s">
        <v>910</v>
      </c>
      <c r="B318" s="179" t="s">
        <v>1161</v>
      </c>
      <c r="C318" s="174"/>
      <c r="D318" s="165" t="s">
        <v>912</v>
      </c>
      <c r="E318" s="177"/>
      <c r="F318" s="177"/>
      <c r="G318" s="180">
        <v>2185318.85</v>
      </c>
      <c r="H318" s="180"/>
    </row>
    <row r="319" spans="1:8" ht="12.75">
      <c r="A319" s="179" t="s">
        <v>910</v>
      </c>
      <c r="B319" s="179" t="s">
        <v>1163</v>
      </c>
      <c r="C319" s="173"/>
      <c r="D319" s="165" t="s">
        <v>913</v>
      </c>
      <c r="E319" s="177"/>
      <c r="F319" s="177"/>
      <c r="G319" s="180">
        <v>4552839</v>
      </c>
      <c r="H319" s="180"/>
    </row>
    <row r="320" spans="1:8" ht="12.75">
      <c r="A320" s="179" t="s">
        <v>910</v>
      </c>
      <c r="B320" s="179" t="s">
        <v>1165</v>
      </c>
      <c r="C320" s="174"/>
      <c r="D320" s="165" t="s">
        <v>914</v>
      </c>
      <c r="E320" s="177"/>
      <c r="F320" s="177"/>
      <c r="G320" s="180">
        <v>4673072</v>
      </c>
      <c r="H320" s="180"/>
    </row>
    <row r="321" spans="1:8" ht="12.75">
      <c r="A321" s="179" t="s">
        <v>910</v>
      </c>
      <c r="B321" s="179" t="s">
        <v>1167</v>
      </c>
      <c r="C321" s="174"/>
      <c r="D321" s="165" t="s">
        <v>915</v>
      </c>
      <c r="E321" s="177"/>
      <c r="F321" s="177"/>
      <c r="G321" s="180">
        <v>0</v>
      </c>
      <c r="H321" s="180"/>
    </row>
    <row r="322" spans="1:8" ht="12.75">
      <c r="A322" s="179" t="s">
        <v>910</v>
      </c>
      <c r="B322" s="179" t="s">
        <v>1169</v>
      </c>
      <c r="C322" s="174"/>
      <c r="D322" s="165" t="s">
        <v>916</v>
      </c>
      <c r="E322" s="177"/>
      <c r="F322" s="177"/>
      <c r="G322" s="180">
        <v>3005712</v>
      </c>
      <c r="H322" s="180"/>
    </row>
    <row r="323" spans="1:8" ht="12.75">
      <c r="A323" s="179" t="s">
        <v>910</v>
      </c>
      <c r="B323" s="179" t="s">
        <v>1</v>
      </c>
      <c r="C323" s="173"/>
      <c r="D323" s="165" t="s">
        <v>917</v>
      </c>
      <c r="E323" s="177"/>
      <c r="F323" s="177"/>
      <c r="G323" s="180">
        <v>2986262</v>
      </c>
      <c r="H323" s="180"/>
    </row>
    <row r="324" spans="1:8" ht="12.75">
      <c r="A324" s="179" t="s">
        <v>910</v>
      </c>
      <c r="B324" s="179" t="s">
        <v>728</v>
      </c>
      <c r="C324" s="174"/>
      <c r="D324" s="165" t="s">
        <v>1677</v>
      </c>
      <c r="E324" s="177"/>
      <c r="F324" s="177"/>
      <c r="G324" s="180">
        <v>951931</v>
      </c>
      <c r="H324" s="180"/>
    </row>
    <row r="325" spans="1:8" ht="12.75">
      <c r="A325" s="179" t="s">
        <v>910</v>
      </c>
      <c r="B325" s="179" t="s">
        <v>2041</v>
      </c>
      <c r="C325" s="174"/>
      <c r="D325" s="165" t="s">
        <v>1678</v>
      </c>
      <c r="E325" s="177"/>
      <c r="F325" s="177"/>
      <c r="G325" s="180">
        <v>14900202</v>
      </c>
      <c r="H325" s="180"/>
    </row>
    <row r="326" spans="1:8" ht="12.75">
      <c r="A326" s="179" t="s">
        <v>910</v>
      </c>
      <c r="B326" s="179" t="s">
        <v>731</v>
      </c>
      <c r="C326" s="174"/>
      <c r="D326" s="165" t="s">
        <v>1679</v>
      </c>
      <c r="E326" s="177"/>
      <c r="F326" s="177"/>
      <c r="G326" s="180">
        <v>1614160</v>
      </c>
      <c r="H326" s="180"/>
    </row>
    <row r="327" spans="1:8" ht="12.75">
      <c r="A327" s="179" t="s">
        <v>910</v>
      </c>
      <c r="B327" s="179" t="s">
        <v>2023</v>
      </c>
      <c r="C327" s="174"/>
      <c r="D327" s="165" t="s">
        <v>1680</v>
      </c>
      <c r="E327" s="177"/>
      <c r="F327" s="177"/>
      <c r="G327" s="180">
        <v>9113258</v>
      </c>
      <c r="H327" s="180"/>
    </row>
    <row r="328" spans="1:8" ht="12.75">
      <c r="A328" s="179" t="s">
        <v>910</v>
      </c>
      <c r="B328" s="179" t="s">
        <v>2044</v>
      </c>
      <c r="C328" s="173"/>
      <c r="D328" s="165" t="s">
        <v>1681</v>
      </c>
      <c r="E328" s="177"/>
      <c r="F328" s="177"/>
      <c r="G328" s="180">
        <v>9976347</v>
      </c>
      <c r="H328" s="180"/>
    </row>
    <row r="329" spans="1:8" ht="12.75">
      <c r="A329" s="179" t="s">
        <v>910</v>
      </c>
      <c r="B329" s="179" t="s">
        <v>2018</v>
      </c>
      <c r="C329" s="174"/>
      <c r="D329" s="165" t="s">
        <v>453</v>
      </c>
      <c r="E329" s="177"/>
      <c r="F329" s="177"/>
      <c r="G329" s="180">
        <v>11506835</v>
      </c>
      <c r="H329" s="180"/>
    </row>
    <row r="330" spans="1:8" ht="12.75">
      <c r="A330" s="179" t="s">
        <v>910</v>
      </c>
      <c r="B330" s="179" t="s">
        <v>1696</v>
      </c>
      <c r="C330" s="174"/>
      <c r="D330" s="165" t="s">
        <v>454</v>
      </c>
      <c r="E330" s="177"/>
      <c r="F330" s="177"/>
      <c r="G330" s="180">
        <v>12988440</v>
      </c>
      <c r="H330" s="180"/>
    </row>
    <row r="331" spans="1:8" ht="12.75">
      <c r="A331" s="179" t="s">
        <v>910</v>
      </c>
      <c r="B331" s="179" t="s">
        <v>2032</v>
      </c>
      <c r="C331" s="174"/>
      <c r="D331" s="165" t="s">
        <v>1022</v>
      </c>
      <c r="E331" s="177"/>
      <c r="F331" s="177"/>
      <c r="G331" s="180">
        <v>15562757</v>
      </c>
      <c r="H331" s="180"/>
    </row>
    <row r="332" spans="1:8" ht="12.75">
      <c r="A332" s="179" t="s">
        <v>910</v>
      </c>
      <c r="B332" s="179" t="s">
        <v>1038</v>
      </c>
      <c r="C332" s="174"/>
      <c r="D332" s="165" t="s">
        <v>1023</v>
      </c>
      <c r="E332" s="177"/>
      <c r="F332" s="177"/>
      <c r="G332" s="180">
        <v>0</v>
      </c>
      <c r="H332" s="180"/>
    </row>
    <row r="333" spans="1:8" ht="12.75">
      <c r="A333" s="179" t="s">
        <v>910</v>
      </c>
      <c r="B333" s="179" t="s">
        <v>1040</v>
      </c>
      <c r="C333" s="174"/>
      <c r="D333" s="165" t="s">
        <v>1024</v>
      </c>
      <c r="E333" s="177"/>
      <c r="F333" s="177"/>
      <c r="G333" s="180">
        <v>27569843</v>
      </c>
      <c r="H333" s="180"/>
    </row>
    <row r="334" spans="1:8" ht="12.75">
      <c r="A334" s="179" t="s">
        <v>910</v>
      </c>
      <c r="B334" s="179" t="s">
        <v>1042</v>
      </c>
      <c r="C334" s="174"/>
      <c r="D334" s="165" t="s">
        <v>1025</v>
      </c>
      <c r="E334" s="177"/>
      <c r="F334" s="177"/>
      <c r="G334" s="180">
        <v>3441746</v>
      </c>
      <c r="H334" s="180"/>
    </row>
    <row r="335" spans="1:8" ht="12.75">
      <c r="A335" s="179" t="s">
        <v>910</v>
      </c>
      <c r="B335" s="179" t="s">
        <v>1743</v>
      </c>
      <c r="C335" s="174"/>
      <c r="D335" s="165" t="s">
        <v>1026</v>
      </c>
      <c r="E335" s="177"/>
      <c r="F335" s="177"/>
      <c r="G335" s="180">
        <v>3559287</v>
      </c>
      <c r="H335" s="180"/>
    </row>
    <row r="336" spans="1:8" ht="12.75">
      <c r="A336" s="179" t="s">
        <v>910</v>
      </c>
      <c r="B336" s="179" t="s">
        <v>1045</v>
      </c>
      <c r="C336" s="173"/>
      <c r="D336" s="165" t="s">
        <v>978</v>
      </c>
      <c r="E336" s="177"/>
      <c r="F336" s="177"/>
      <c r="G336" s="180">
        <v>16294907</v>
      </c>
      <c r="H336" s="180"/>
    </row>
    <row r="337" spans="1:8" ht="12.75">
      <c r="A337" s="179" t="s">
        <v>910</v>
      </c>
      <c r="B337" s="179" t="s">
        <v>2034</v>
      </c>
      <c r="C337" s="173"/>
      <c r="D337" s="165" t="s">
        <v>979</v>
      </c>
      <c r="E337" s="177"/>
      <c r="F337" s="177"/>
      <c r="G337" s="180">
        <v>15855</v>
      </c>
      <c r="H337" s="180"/>
    </row>
    <row r="338" spans="1:8" ht="12.75">
      <c r="A338" s="179" t="s">
        <v>910</v>
      </c>
      <c r="B338" s="179" t="s">
        <v>1048</v>
      </c>
      <c r="C338" s="174"/>
      <c r="D338" s="165" t="s">
        <v>980</v>
      </c>
      <c r="E338" s="177"/>
      <c r="F338" s="177"/>
      <c r="G338" s="180">
        <v>1523642</v>
      </c>
      <c r="H338" s="180"/>
    </row>
    <row r="339" spans="1:8" ht="12.75">
      <c r="A339" s="179" t="s">
        <v>910</v>
      </c>
      <c r="B339" s="179" t="s">
        <v>1050</v>
      </c>
      <c r="C339" s="174"/>
      <c r="D339" s="165" t="s">
        <v>981</v>
      </c>
      <c r="E339" s="177"/>
      <c r="F339" s="177"/>
      <c r="G339" s="180">
        <v>1240510</v>
      </c>
      <c r="H339" s="180"/>
    </row>
    <row r="340" spans="1:8" ht="12.75">
      <c r="A340" s="179" t="s">
        <v>910</v>
      </c>
      <c r="B340" s="179" t="s">
        <v>1052</v>
      </c>
      <c r="C340" s="174"/>
      <c r="D340" s="165" t="s">
        <v>982</v>
      </c>
      <c r="E340" s="177"/>
      <c r="F340" s="177"/>
      <c r="G340" s="180">
        <v>8143899</v>
      </c>
      <c r="H340" s="180"/>
    </row>
    <row r="341" spans="1:8" ht="12.75">
      <c r="A341" s="179" t="s">
        <v>910</v>
      </c>
      <c r="B341" s="179" t="s">
        <v>1057</v>
      </c>
      <c r="C341" s="173"/>
      <c r="D341" s="165" t="s">
        <v>983</v>
      </c>
      <c r="E341" s="177"/>
      <c r="F341" s="177"/>
      <c r="G341" s="180">
        <v>1767225</v>
      </c>
      <c r="H341" s="180"/>
    </row>
    <row r="342" spans="1:8" ht="12.75">
      <c r="A342" s="179" t="s">
        <v>910</v>
      </c>
      <c r="B342" s="179" t="s">
        <v>1059</v>
      </c>
      <c r="C342" s="173"/>
      <c r="D342" s="165" t="s">
        <v>984</v>
      </c>
      <c r="E342" s="177"/>
      <c r="F342" s="177"/>
      <c r="G342" s="180">
        <v>3862649</v>
      </c>
      <c r="H342" s="180"/>
    </row>
    <row r="343" spans="1:8" ht="12.75">
      <c r="A343" s="179" t="s">
        <v>910</v>
      </c>
      <c r="B343" s="179" t="s">
        <v>2036</v>
      </c>
      <c r="C343" s="174"/>
      <c r="D343" s="165" t="s">
        <v>985</v>
      </c>
      <c r="E343" s="177"/>
      <c r="F343" s="177"/>
      <c r="G343" s="180">
        <v>3052208</v>
      </c>
      <c r="H343" s="180"/>
    </row>
    <row r="344" spans="1:8" ht="12.75">
      <c r="A344" s="179" t="s">
        <v>910</v>
      </c>
      <c r="B344" s="179" t="s">
        <v>1062</v>
      </c>
      <c r="C344" s="173"/>
      <c r="D344" s="165" t="s">
        <v>986</v>
      </c>
      <c r="E344" s="177"/>
      <c r="F344" s="177"/>
      <c r="G344" s="180">
        <v>1011299</v>
      </c>
      <c r="H344" s="180"/>
    </row>
    <row r="345" spans="1:8" ht="12.75">
      <c r="A345" s="179" t="s">
        <v>910</v>
      </c>
      <c r="B345" s="179" t="s">
        <v>1064</v>
      </c>
      <c r="C345" s="173"/>
      <c r="D345" s="165" t="s">
        <v>987</v>
      </c>
      <c r="E345" s="177"/>
      <c r="F345" s="177"/>
      <c r="G345" s="180">
        <v>3601362</v>
      </c>
      <c r="H345" s="180"/>
    </row>
    <row r="346" spans="1:8" ht="12.75">
      <c r="A346" s="179" t="s">
        <v>910</v>
      </c>
      <c r="B346" s="179" t="s">
        <v>1066</v>
      </c>
      <c r="C346" s="174"/>
      <c r="D346" s="165" t="s">
        <v>988</v>
      </c>
      <c r="E346" s="177"/>
      <c r="F346" s="177"/>
      <c r="G346" s="180">
        <v>2703633</v>
      </c>
      <c r="H346" s="180"/>
    </row>
    <row r="347" spans="1:8" ht="12.75">
      <c r="A347" s="179" t="s">
        <v>910</v>
      </c>
      <c r="B347" s="179" t="s">
        <v>778</v>
      </c>
      <c r="C347" s="174"/>
      <c r="D347" s="165" t="s">
        <v>989</v>
      </c>
      <c r="E347" s="177"/>
      <c r="F347" s="177"/>
      <c r="G347" s="180">
        <v>1867557</v>
      </c>
      <c r="H347" s="180"/>
    </row>
    <row r="348" spans="1:8" ht="12.75">
      <c r="A348" s="179" t="s">
        <v>990</v>
      </c>
      <c r="B348" s="179" t="s">
        <v>1159</v>
      </c>
      <c r="C348" s="174"/>
      <c r="D348" s="165" t="s">
        <v>991</v>
      </c>
      <c r="E348" s="177"/>
      <c r="F348" s="177"/>
      <c r="G348" s="180">
        <v>5164702.98</v>
      </c>
      <c r="H348" s="180"/>
    </row>
    <row r="349" spans="1:8" ht="12.75">
      <c r="A349" s="179" t="s">
        <v>990</v>
      </c>
      <c r="B349" s="179" t="s">
        <v>1161</v>
      </c>
      <c r="C349" s="173"/>
      <c r="D349" s="165" t="s">
        <v>992</v>
      </c>
      <c r="E349" s="177"/>
      <c r="F349" s="177"/>
      <c r="G349" s="180">
        <v>615904.31</v>
      </c>
      <c r="H349" s="180"/>
    </row>
    <row r="350" spans="1:8" ht="12.75">
      <c r="A350" s="179" t="s">
        <v>990</v>
      </c>
      <c r="B350" s="179" t="s">
        <v>1163</v>
      </c>
      <c r="C350" s="173"/>
      <c r="D350" s="165" t="s">
        <v>993</v>
      </c>
      <c r="E350" s="177"/>
      <c r="F350" s="177"/>
      <c r="G350" s="180">
        <v>3448172.44</v>
      </c>
      <c r="H350" s="180"/>
    </row>
    <row r="351" spans="1:8" ht="12.75">
      <c r="A351" s="179" t="s">
        <v>990</v>
      </c>
      <c r="B351" s="179" t="s">
        <v>1165</v>
      </c>
      <c r="C351" s="173"/>
      <c r="D351" s="165" t="s">
        <v>994</v>
      </c>
      <c r="E351" s="177"/>
      <c r="F351" s="177"/>
      <c r="G351" s="180">
        <v>4311330.2</v>
      </c>
      <c r="H351" s="180"/>
    </row>
    <row r="352" spans="1:8" ht="12.75">
      <c r="A352" s="179" t="s">
        <v>990</v>
      </c>
      <c r="B352" s="179" t="s">
        <v>1167</v>
      </c>
      <c r="C352" s="173"/>
      <c r="D352" s="165" t="s">
        <v>995</v>
      </c>
      <c r="E352" s="177"/>
      <c r="F352" s="177"/>
      <c r="G352" s="180">
        <v>0</v>
      </c>
      <c r="H352" s="180"/>
    </row>
    <row r="353" spans="1:8" ht="12.75">
      <c r="A353" s="179" t="s">
        <v>990</v>
      </c>
      <c r="B353" s="179" t="s">
        <v>1169</v>
      </c>
      <c r="C353" s="173"/>
      <c r="D353" s="165" t="s">
        <v>996</v>
      </c>
      <c r="E353" s="177"/>
      <c r="F353" s="177"/>
      <c r="G353" s="180">
        <v>3329526.46</v>
      </c>
      <c r="H353" s="180"/>
    </row>
    <row r="354" spans="1:8" ht="12.75">
      <c r="A354" s="179" t="s">
        <v>990</v>
      </c>
      <c r="B354" s="179" t="s">
        <v>1</v>
      </c>
      <c r="C354" s="173"/>
      <c r="D354" s="165" t="s">
        <v>997</v>
      </c>
      <c r="E354" s="177"/>
      <c r="F354" s="177"/>
      <c r="G354" s="180">
        <v>3545505.21</v>
      </c>
      <c r="H354" s="180"/>
    </row>
    <row r="355" spans="1:8" ht="12.75">
      <c r="A355" s="179" t="s">
        <v>990</v>
      </c>
      <c r="B355" s="179" t="s">
        <v>728</v>
      </c>
      <c r="C355" s="173"/>
      <c r="D355" s="165" t="s">
        <v>998</v>
      </c>
      <c r="E355" s="177"/>
      <c r="F355" s="177"/>
      <c r="G355" s="180">
        <v>615904.31</v>
      </c>
      <c r="H355" s="180"/>
    </row>
    <row r="356" spans="1:8" ht="12.75">
      <c r="A356" s="179" t="s">
        <v>990</v>
      </c>
      <c r="B356" s="179" t="s">
        <v>2041</v>
      </c>
      <c r="C356" s="173"/>
      <c r="D356" s="165" t="s">
        <v>440</v>
      </c>
      <c r="E356" s="177"/>
      <c r="F356" s="177"/>
      <c r="G356" s="180">
        <v>9950367.65</v>
      </c>
      <c r="H356" s="180"/>
    </row>
    <row r="357" spans="1:8" ht="12.75">
      <c r="A357" s="179" t="s">
        <v>990</v>
      </c>
      <c r="B357" s="179" t="s">
        <v>2023</v>
      </c>
      <c r="C357" s="173"/>
      <c r="D357" s="165" t="s">
        <v>1514</v>
      </c>
      <c r="E357" s="177"/>
      <c r="F357" s="177"/>
      <c r="G357" s="180">
        <v>11946077.16</v>
      </c>
      <c r="H357" s="180"/>
    </row>
    <row r="358" spans="1:8" ht="12.75">
      <c r="A358" s="179" t="s">
        <v>990</v>
      </c>
      <c r="B358" s="179" t="s">
        <v>2044</v>
      </c>
      <c r="C358" s="173"/>
      <c r="D358" s="165" t="s">
        <v>1515</v>
      </c>
      <c r="E358" s="177"/>
      <c r="F358" s="177"/>
      <c r="G358" s="180">
        <v>14165799.24</v>
      </c>
      <c r="H358" s="180"/>
    </row>
    <row r="359" spans="1:8" ht="12.75">
      <c r="A359" s="179" t="s">
        <v>990</v>
      </c>
      <c r="B359" s="179" t="s">
        <v>2018</v>
      </c>
      <c r="C359" s="173"/>
      <c r="D359" s="165" t="s">
        <v>1516</v>
      </c>
      <c r="E359" s="177"/>
      <c r="F359" s="177"/>
      <c r="G359" s="180">
        <v>14781703.56</v>
      </c>
      <c r="H359" s="180"/>
    </row>
    <row r="360" spans="1:8" ht="12.75">
      <c r="A360" s="179" t="s">
        <v>990</v>
      </c>
      <c r="B360" s="179" t="s">
        <v>1696</v>
      </c>
      <c r="C360" s="173"/>
      <c r="D360" s="165" t="s">
        <v>1517</v>
      </c>
      <c r="E360" s="177"/>
      <c r="F360" s="177"/>
      <c r="G360" s="180">
        <v>14165799.24</v>
      </c>
      <c r="H360" s="180"/>
    </row>
    <row r="361" spans="1:8" ht="12.75">
      <c r="A361" s="179" t="s">
        <v>990</v>
      </c>
      <c r="B361" s="179" t="s">
        <v>2032</v>
      </c>
      <c r="C361" s="173"/>
      <c r="D361" s="165" t="s">
        <v>1518</v>
      </c>
      <c r="E361" s="177"/>
      <c r="F361" s="177"/>
      <c r="G361" s="180">
        <v>21149052.54</v>
      </c>
      <c r="H361" s="180"/>
    </row>
    <row r="362" spans="1:8" ht="12.75">
      <c r="A362" s="179" t="s">
        <v>990</v>
      </c>
      <c r="B362" s="179" t="s">
        <v>1040</v>
      </c>
      <c r="C362" s="173"/>
      <c r="D362" s="165" t="s">
        <v>1406</v>
      </c>
      <c r="E362" s="177"/>
      <c r="F362" s="177"/>
      <c r="G362" s="180">
        <v>26375435.16</v>
      </c>
      <c r="H362" s="180"/>
    </row>
    <row r="363" spans="1:8" ht="12.75">
      <c r="A363" s="179" t="s">
        <v>990</v>
      </c>
      <c r="B363" s="179" t="s">
        <v>1042</v>
      </c>
      <c r="C363" s="173"/>
      <c r="D363" s="165" t="s">
        <v>1407</v>
      </c>
      <c r="E363" s="177"/>
      <c r="F363" s="177"/>
      <c r="G363" s="180">
        <v>4419780.6</v>
      </c>
      <c r="H363" s="180"/>
    </row>
    <row r="364" spans="1:8" ht="12.75">
      <c r="A364" s="179" t="s">
        <v>990</v>
      </c>
      <c r="B364" s="179" t="s">
        <v>1743</v>
      </c>
      <c r="C364" s="173"/>
      <c r="D364" s="165" t="s">
        <v>1387</v>
      </c>
      <c r="E364" s="177"/>
      <c r="F364" s="177"/>
      <c r="G364" s="180">
        <v>3611843.09</v>
      </c>
      <c r="H364" s="180"/>
    </row>
    <row r="365" spans="1:8" ht="12.75">
      <c r="A365" s="179" t="s">
        <v>990</v>
      </c>
      <c r="B365" s="179" t="s">
        <v>1045</v>
      </c>
      <c r="C365" s="173"/>
      <c r="D365" s="165" t="s">
        <v>1388</v>
      </c>
      <c r="E365" s="177"/>
      <c r="F365" s="177"/>
      <c r="G365" s="180">
        <v>16533517.91</v>
      </c>
      <c r="H365" s="180"/>
    </row>
    <row r="366" spans="1:8" ht="12.75">
      <c r="A366" s="179" t="s">
        <v>990</v>
      </c>
      <c r="B366" s="179" t="s">
        <v>2034</v>
      </c>
      <c r="C366" s="173"/>
      <c r="D366" s="165" t="s">
        <v>1389</v>
      </c>
      <c r="E366" s="177"/>
      <c r="F366" s="177"/>
      <c r="G366" s="180">
        <v>11256480.71</v>
      </c>
      <c r="H366" s="180"/>
    </row>
    <row r="367" spans="1:8" ht="12.75">
      <c r="A367" s="179" t="s">
        <v>990</v>
      </c>
      <c r="B367" s="179" t="s">
        <v>1057</v>
      </c>
      <c r="C367" s="173"/>
      <c r="D367" s="165" t="s">
        <v>1390</v>
      </c>
      <c r="E367" s="177"/>
      <c r="F367" s="177"/>
      <c r="G367" s="180">
        <v>1386219.66</v>
      </c>
      <c r="H367" s="180"/>
    </row>
    <row r="368" spans="1:8" ht="12.75">
      <c r="A368" s="179" t="s">
        <v>990</v>
      </c>
      <c r="B368" s="179" t="s">
        <v>1059</v>
      </c>
      <c r="C368" s="173"/>
      <c r="D368" s="165" t="s">
        <v>1391</v>
      </c>
      <c r="E368" s="177"/>
      <c r="F368" s="177"/>
      <c r="G368" s="180">
        <v>3818840.77</v>
      </c>
      <c r="H368" s="180"/>
    </row>
    <row r="369" spans="1:8" ht="12.75">
      <c r="A369" s="179" t="s">
        <v>990</v>
      </c>
      <c r="B369" s="179" t="s">
        <v>2036</v>
      </c>
      <c r="C369" s="173"/>
      <c r="D369" s="165" t="s">
        <v>128</v>
      </c>
      <c r="E369" s="177"/>
      <c r="F369" s="177"/>
      <c r="G369" s="180">
        <v>3301764.11</v>
      </c>
      <c r="H369" s="180"/>
    </row>
    <row r="370" spans="1:8" ht="12.75">
      <c r="A370" s="179" t="s">
        <v>990</v>
      </c>
      <c r="B370" s="179" t="s">
        <v>1064</v>
      </c>
      <c r="C370" s="173"/>
      <c r="D370" s="165" t="s">
        <v>129</v>
      </c>
      <c r="E370" s="177"/>
      <c r="F370" s="177"/>
      <c r="G370" s="180">
        <v>45193106.37</v>
      </c>
      <c r="H370" s="180"/>
    </row>
    <row r="371" spans="1:8" ht="12.75">
      <c r="A371" s="179" t="s">
        <v>990</v>
      </c>
      <c r="B371" s="179" t="s">
        <v>1066</v>
      </c>
      <c r="C371" s="173"/>
      <c r="D371" s="165" t="s">
        <v>130</v>
      </c>
      <c r="E371" s="177"/>
      <c r="F371" s="177"/>
      <c r="G371" s="180">
        <v>3695425.9</v>
      </c>
      <c r="H371" s="180"/>
    </row>
    <row r="372" spans="1:8" ht="12.75">
      <c r="A372" s="179" t="s">
        <v>990</v>
      </c>
      <c r="B372" s="179" t="s">
        <v>778</v>
      </c>
      <c r="C372" s="173"/>
      <c r="D372" s="165" t="s">
        <v>131</v>
      </c>
      <c r="E372" s="177"/>
      <c r="F372" s="177"/>
      <c r="G372" s="180">
        <v>6319368.46</v>
      </c>
      <c r="H372" s="180"/>
    </row>
    <row r="373" spans="1:8" ht="12.75">
      <c r="A373" s="179" t="s">
        <v>132</v>
      </c>
      <c r="B373" s="179" t="s">
        <v>1064</v>
      </c>
      <c r="C373" s="173"/>
      <c r="D373" s="165" t="s">
        <v>133</v>
      </c>
      <c r="E373" s="177"/>
      <c r="F373" s="177"/>
      <c r="G373" s="180">
        <v>59848484</v>
      </c>
      <c r="H373" s="180"/>
    </row>
    <row r="374" spans="1:8" ht="12.75">
      <c r="A374" s="179" t="s">
        <v>134</v>
      </c>
      <c r="B374" s="179" t="s">
        <v>1064</v>
      </c>
      <c r="C374" s="173"/>
      <c r="D374" s="165" t="s">
        <v>135</v>
      </c>
      <c r="E374" s="177"/>
      <c r="F374" s="177"/>
      <c r="G374" s="180">
        <v>3447500</v>
      </c>
      <c r="H374" s="180"/>
    </row>
    <row r="375" spans="1:8" ht="12.75">
      <c r="A375" s="179" t="s">
        <v>136</v>
      </c>
      <c r="B375" s="179" t="s">
        <v>1064</v>
      </c>
      <c r="C375" s="173"/>
      <c r="D375" s="165" t="s">
        <v>137</v>
      </c>
      <c r="E375" s="177"/>
      <c r="F375" s="177"/>
      <c r="G375" s="180">
        <v>150614704</v>
      </c>
      <c r="H375" s="180"/>
    </row>
    <row r="376" spans="1:8" ht="12.75">
      <c r="A376" s="179" t="s">
        <v>138</v>
      </c>
      <c r="B376" s="179" t="s">
        <v>1064</v>
      </c>
      <c r="C376" s="173"/>
      <c r="D376" s="165" t="s">
        <v>139</v>
      </c>
      <c r="E376" s="177"/>
      <c r="F376" s="177"/>
      <c r="G376" s="187">
        <v>228584421</v>
      </c>
      <c r="H376" s="180"/>
    </row>
    <row r="377" spans="1:8" ht="12.75">
      <c r="A377" s="179" t="s">
        <v>140</v>
      </c>
      <c r="B377" s="179" t="s">
        <v>1066</v>
      </c>
      <c r="C377" s="173"/>
      <c r="D377" s="165" t="s">
        <v>141</v>
      </c>
      <c r="E377" s="177"/>
      <c r="F377" s="177"/>
      <c r="G377" s="180">
        <v>2347265</v>
      </c>
      <c r="H377" s="180"/>
    </row>
    <row r="378" spans="1:8" ht="12.75">
      <c r="A378" s="179" t="s">
        <v>142</v>
      </c>
      <c r="B378" s="179" t="s">
        <v>1064</v>
      </c>
      <c r="C378" s="173"/>
      <c r="D378" s="165" t="s">
        <v>143</v>
      </c>
      <c r="E378" s="177"/>
      <c r="F378" s="177"/>
      <c r="G378" s="180">
        <v>47255845</v>
      </c>
      <c r="H378" s="180"/>
    </row>
    <row r="379" spans="1:8" ht="12.75">
      <c r="A379" s="179" t="s">
        <v>144</v>
      </c>
      <c r="B379" s="179" t="s">
        <v>1159</v>
      </c>
      <c r="C379" s="173"/>
      <c r="D379" s="165" t="s">
        <v>145</v>
      </c>
      <c r="E379" s="177"/>
      <c r="F379" s="177"/>
      <c r="G379" s="180">
        <v>21995076.49</v>
      </c>
      <c r="H379" s="180"/>
    </row>
    <row r="380" spans="1:8" ht="12.75">
      <c r="A380" s="179" t="s">
        <v>144</v>
      </c>
      <c r="B380" s="179" t="s">
        <v>1161</v>
      </c>
      <c r="C380" s="173"/>
      <c r="D380" s="165" t="s">
        <v>146</v>
      </c>
      <c r="E380" s="177"/>
      <c r="F380" s="177"/>
      <c r="G380" s="180">
        <v>5145694.82</v>
      </c>
      <c r="H380" s="180"/>
    </row>
    <row r="381" spans="1:8" ht="12.75">
      <c r="A381" s="179" t="s">
        <v>144</v>
      </c>
      <c r="B381" s="179" t="s">
        <v>1163</v>
      </c>
      <c r="C381" s="173"/>
      <c r="D381" s="165" t="s">
        <v>147</v>
      </c>
      <c r="E381" s="177"/>
      <c r="F381" s="177"/>
      <c r="G381" s="180">
        <v>6561214</v>
      </c>
      <c r="H381" s="180"/>
    </row>
    <row r="382" spans="1:8" ht="12.75">
      <c r="A382" s="179" t="s">
        <v>144</v>
      </c>
      <c r="B382" s="179" t="s">
        <v>1165</v>
      </c>
      <c r="C382" s="173"/>
      <c r="D382" s="165" t="s">
        <v>148</v>
      </c>
      <c r="E382" s="177"/>
      <c r="F382" s="177"/>
      <c r="G382" s="180">
        <v>8892548</v>
      </c>
      <c r="H382" s="180"/>
    </row>
    <row r="383" spans="1:8" ht="12.75">
      <c r="A383" s="179" t="s">
        <v>144</v>
      </c>
      <c r="B383" s="179" t="s">
        <v>1167</v>
      </c>
      <c r="C383" s="173"/>
      <c r="D383" s="165" t="s">
        <v>149</v>
      </c>
      <c r="E383" s="177"/>
      <c r="F383" s="177"/>
      <c r="G383" s="180">
        <v>776309.61</v>
      </c>
      <c r="H383" s="180"/>
    </row>
    <row r="384" spans="1:8" ht="12.75">
      <c r="A384" s="179" t="s">
        <v>144</v>
      </c>
      <c r="B384" s="179" t="s">
        <v>1169</v>
      </c>
      <c r="C384" s="174"/>
      <c r="D384" s="165" t="s">
        <v>150</v>
      </c>
      <c r="E384" s="177"/>
      <c r="F384" s="177"/>
      <c r="G384" s="180">
        <v>6259592.69</v>
      </c>
      <c r="H384" s="180"/>
    </row>
    <row r="385" spans="1:8" ht="12.75">
      <c r="A385" s="179" t="s">
        <v>144</v>
      </c>
      <c r="B385" s="179" t="s">
        <v>1</v>
      </c>
      <c r="C385" s="174"/>
      <c r="D385" s="165" t="s">
        <v>151</v>
      </c>
      <c r="E385" s="177"/>
      <c r="F385" s="177"/>
      <c r="G385" s="180">
        <v>5318577.66</v>
      </c>
      <c r="H385" s="180"/>
    </row>
    <row r="386" spans="1:8" ht="12.75">
      <c r="A386" s="179" t="s">
        <v>144</v>
      </c>
      <c r="B386" s="179" t="s">
        <v>728</v>
      </c>
      <c r="C386" s="174"/>
      <c r="D386" s="165" t="s">
        <v>152</v>
      </c>
      <c r="E386" s="177"/>
      <c r="F386" s="177"/>
      <c r="G386" s="180">
        <v>1699728</v>
      </c>
      <c r="H386" s="180"/>
    </row>
    <row r="387" spans="1:8" ht="12.75">
      <c r="A387" s="179" t="s">
        <v>144</v>
      </c>
      <c r="B387" s="179" t="s">
        <v>2041</v>
      </c>
      <c r="C387" s="174"/>
      <c r="D387" s="165" t="s">
        <v>153</v>
      </c>
      <c r="E387" s="177"/>
      <c r="F387" s="177"/>
      <c r="G387" s="180">
        <v>34368628.85</v>
      </c>
      <c r="H387" s="180"/>
    </row>
    <row r="388" spans="1:8" ht="12.75">
      <c r="A388" s="179" t="s">
        <v>144</v>
      </c>
      <c r="B388" s="179" t="s">
        <v>731</v>
      </c>
      <c r="C388" s="174"/>
      <c r="D388" s="165" t="s">
        <v>154</v>
      </c>
      <c r="E388" s="177"/>
      <c r="F388" s="177"/>
      <c r="G388" s="180">
        <v>3980098</v>
      </c>
      <c r="H388" s="180"/>
    </row>
    <row r="389" spans="1:8" ht="12.75">
      <c r="A389" s="179" t="s">
        <v>144</v>
      </c>
      <c r="B389" s="179" t="s">
        <v>2023</v>
      </c>
      <c r="C389" s="173"/>
      <c r="D389" s="165" t="s">
        <v>155</v>
      </c>
      <c r="E389" s="177"/>
      <c r="F389" s="177"/>
      <c r="G389" s="180">
        <v>19377441.33</v>
      </c>
      <c r="H389" s="180"/>
    </row>
    <row r="390" spans="1:8" ht="12.75">
      <c r="A390" s="179" t="s">
        <v>144</v>
      </c>
      <c r="B390" s="179" t="s">
        <v>2044</v>
      </c>
      <c r="C390" s="174"/>
      <c r="D390" s="165" t="s">
        <v>156</v>
      </c>
      <c r="E390" s="177"/>
      <c r="F390" s="177"/>
      <c r="G390" s="180">
        <v>19002739.88</v>
      </c>
      <c r="H390" s="180"/>
    </row>
    <row r="391" spans="1:8" ht="12.75">
      <c r="A391" s="179" t="s">
        <v>144</v>
      </c>
      <c r="B391" s="179" t="s">
        <v>2018</v>
      </c>
      <c r="C391" s="174"/>
      <c r="D391" s="165" t="s">
        <v>157</v>
      </c>
      <c r="E391" s="177"/>
      <c r="F391" s="177"/>
      <c r="G391" s="180">
        <v>23662919.19</v>
      </c>
      <c r="H391" s="180"/>
    </row>
    <row r="392" spans="1:8" ht="12.75">
      <c r="A392" s="179" t="s">
        <v>144</v>
      </c>
      <c r="B392" s="179" t="s">
        <v>1696</v>
      </c>
      <c r="C392" s="174"/>
      <c r="D392" s="165" t="s">
        <v>158</v>
      </c>
      <c r="E392" s="177"/>
      <c r="F392" s="177"/>
      <c r="G392" s="180">
        <v>25174135.08</v>
      </c>
      <c r="H392" s="180"/>
    </row>
    <row r="393" spans="1:8" ht="12.75">
      <c r="A393" s="179" t="s">
        <v>144</v>
      </c>
      <c r="B393" s="179" t="s">
        <v>2032</v>
      </c>
      <c r="C393" s="174"/>
      <c r="D393" s="165" t="s">
        <v>159</v>
      </c>
      <c r="E393" s="177"/>
      <c r="F393" s="177"/>
      <c r="G393" s="180">
        <v>30059418.43</v>
      </c>
      <c r="H393" s="180"/>
    </row>
    <row r="394" spans="1:8" ht="12.75">
      <c r="A394" s="179" t="s">
        <v>144</v>
      </c>
      <c r="B394" s="179" t="s">
        <v>1038</v>
      </c>
      <c r="C394" s="174"/>
      <c r="D394" s="165" t="s">
        <v>160</v>
      </c>
      <c r="E394" s="177"/>
      <c r="F394" s="177"/>
      <c r="G394" s="180">
        <v>0</v>
      </c>
      <c r="H394" s="180"/>
    </row>
    <row r="395" spans="1:8" ht="12.75">
      <c r="A395" s="179" t="s">
        <v>144</v>
      </c>
      <c r="B395" s="179" t="s">
        <v>1040</v>
      </c>
      <c r="C395" s="174"/>
      <c r="D395" s="165" t="s">
        <v>161</v>
      </c>
      <c r="E395" s="177"/>
      <c r="F395" s="177"/>
      <c r="G395" s="180">
        <v>45247353.47</v>
      </c>
      <c r="H395" s="180"/>
    </row>
    <row r="396" spans="1:8" ht="12.75">
      <c r="A396" s="179" t="s">
        <v>144</v>
      </c>
      <c r="B396" s="179" t="s">
        <v>1042</v>
      </c>
      <c r="C396" s="174"/>
      <c r="D396" s="165" t="s">
        <v>162</v>
      </c>
      <c r="E396" s="177"/>
      <c r="F396" s="177"/>
      <c r="G396" s="180">
        <v>6806815.83</v>
      </c>
      <c r="H396" s="180"/>
    </row>
    <row r="397" spans="1:8" ht="12.75">
      <c r="A397" s="179" t="s">
        <v>144</v>
      </c>
      <c r="B397" s="179" t="s">
        <v>1743</v>
      </c>
      <c r="C397" s="174"/>
      <c r="D397" s="165" t="s">
        <v>822</v>
      </c>
      <c r="E397" s="177"/>
      <c r="F397" s="177"/>
      <c r="G397" s="180">
        <v>7404209.72</v>
      </c>
      <c r="H397" s="180"/>
    </row>
    <row r="398" spans="1:8" ht="12.75">
      <c r="A398" s="179" t="s">
        <v>144</v>
      </c>
      <c r="B398" s="179" t="s">
        <v>1045</v>
      </c>
      <c r="C398" s="174"/>
      <c r="D398" s="165" t="s">
        <v>823</v>
      </c>
      <c r="E398" s="177"/>
      <c r="F398" s="177"/>
      <c r="G398" s="180">
        <v>35120422.63</v>
      </c>
      <c r="H398" s="180"/>
    </row>
    <row r="399" spans="1:8" ht="12.75">
      <c r="A399" s="179" t="s">
        <v>144</v>
      </c>
      <c r="B399" s="179" t="s">
        <v>2034</v>
      </c>
      <c r="C399" s="174"/>
      <c r="D399" s="165" t="s">
        <v>824</v>
      </c>
      <c r="E399" s="177"/>
      <c r="F399" s="177"/>
      <c r="G399" s="180">
        <v>2485280.78</v>
      </c>
      <c r="H399" s="180"/>
    </row>
    <row r="400" spans="1:8" ht="12.75">
      <c r="A400" s="179" t="s">
        <v>144</v>
      </c>
      <c r="B400" s="179" t="s">
        <v>1048</v>
      </c>
      <c r="C400" s="174"/>
      <c r="D400" s="165" t="s">
        <v>825</v>
      </c>
      <c r="E400" s="177"/>
      <c r="F400" s="177"/>
      <c r="G400" s="180">
        <v>3612750</v>
      </c>
      <c r="H400" s="180"/>
    </row>
    <row r="401" spans="1:8" ht="12.75">
      <c r="A401" s="179" t="s">
        <v>144</v>
      </c>
      <c r="B401" s="179" t="s">
        <v>1050</v>
      </c>
      <c r="C401" s="174"/>
      <c r="D401" s="165" t="s">
        <v>826</v>
      </c>
      <c r="E401" s="177"/>
      <c r="F401" s="177"/>
      <c r="G401" s="180">
        <v>2465507</v>
      </c>
      <c r="H401" s="180"/>
    </row>
    <row r="402" spans="1:8" ht="12.75">
      <c r="A402" s="179" t="s">
        <v>144</v>
      </c>
      <c r="B402" s="179" t="s">
        <v>1052</v>
      </c>
      <c r="C402" s="174"/>
      <c r="D402" s="165" t="s">
        <v>827</v>
      </c>
      <c r="E402" s="177"/>
      <c r="F402" s="177"/>
      <c r="G402" s="180">
        <v>12169689</v>
      </c>
      <c r="H402" s="180"/>
    </row>
    <row r="403" spans="1:8" ht="12.75">
      <c r="A403" s="179" t="s">
        <v>144</v>
      </c>
      <c r="B403" s="179" t="s">
        <v>1057</v>
      </c>
      <c r="C403" s="174"/>
      <c r="D403" s="165" t="s">
        <v>828</v>
      </c>
      <c r="E403" s="177"/>
      <c r="F403" s="177"/>
      <c r="G403" s="180">
        <v>3193844</v>
      </c>
      <c r="H403" s="180"/>
    </row>
    <row r="404" spans="1:8" ht="12.75">
      <c r="A404" s="179" t="s">
        <v>144</v>
      </c>
      <c r="B404" s="179" t="s">
        <v>1059</v>
      </c>
      <c r="C404" s="174"/>
      <c r="D404" s="165" t="s">
        <v>829</v>
      </c>
      <c r="E404" s="177"/>
      <c r="F404" s="177"/>
      <c r="G404" s="180">
        <v>5434934.88</v>
      </c>
      <c r="H404" s="180"/>
    </row>
    <row r="405" spans="1:8" ht="12.75">
      <c r="A405" s="179" t="s">
        <v>144</v>
      </c>
      <c r="B405" s="179" t="s">
        <v>2036</v>
      </c>
      <c r="C405" s="174"/>
      <c r="D405" s="165" t="s">
        <v>830</v>
      </c>
      <c r="E405" s="177"/>
      <c r="F405" s="177"/>
      <c r="G405" s="180">
        <v>7085583.66</v>
      </c>
      <c r="H405" s="180"/>
    </row>
    <row r="406" spans="1:8" ht="12.75">
      <c r="A406" s="179" t="s">
        <v>144</v>
      </c>
      <c r="B406" s="179" t="s">
        <v>1062</v>
      </c>
      <c r="C406" s="174"/>
      <c r="D406" s="165" t="s">
        <v>831</v>
      </c>
      <c r="E406" s="177"/>
      <c r="F406" s="177"/>
      <c r="G406" s="180">
        <v>2104728</v>
      </c>
      <c r="H406" s="180"/>
    </row>
    <row r="407" spans="1:8" ht="12.75">
      <c r="A407" s="179" t="s">
        <v>144</v>
      </c>
      <c r="B407" s="179" t="s">
        <v>1064</v>
      </c>
      <c r="C407" s="174"/>
      <c r="D407" s="165" t="s">
        <v>832</v>
      </c>
      <c r="E407" s="177"/>
      <c r="F407" s="177"/>
      <c r="G407" s="180">
        <v>8827586</v>
      </c>
      <c r="H407" s="180"/>
    </row>
    <row r="408" spans="1:8" ht="12.75">
      <c r="A408" s="179" t="s">
        <v>144</v>
      </c>
      <c r="B408" s="179" t="s">
        <v>1066</v>
      </c>
      <c r="C408" s="174"/>
      <c r="D408" s="165" t="s">
        <v>833</v>
      </c>
      <c r="E408" s="177"/>
      <c r="F408" s="177"/>
      <c r="G408" s="180">
        <v>5154962.66</v>
      </c>
      <c r="H408" s="180"/>
    </row>
    <row r="409" spans="1:8" ht="12.75">
      <c r="A409" s="179" t="s">
        <v>144</v>
      </c>
      <c r="B409" s="179" t="s">
        <v>778</v>
      </c>
      <c r="C409" s="174"/>
      <c r="D409" s="165" t="s">
        <v>834</v>
      </c>
      <c r="E409" s="177"/>
      <c r="F409" s="177"/>
      <c r="G409" s="180">
        <v>4786363.54</v>
      </c>
      <c r="H409" s="180"/>
    </row>
    <row r="410" spans="1:8" ht="12.75">
      <c r="A410" s="179" t="s">
        <v>835</v>
      </c>
      <c r="B410" s="179" t="s">
        <v>2041</v>
      </c>
      <c r="C410" s="174"/>
      <c r="D410" s="165" t="s">
        <v>1392</v>
      </c>
      <c r="E410" s="177"/>
      <c r="F410" s="177"/>
      <c r="G410" s="180">
        <v>188536144.44</v>
      </c>
      <c r="H410" s="180"/>
    </row>
    <row r="411" spans="1:8" ht="12.75">
      <c r="A411" s="179" t="s">
        <v>835</v>
      </c>
      <c r="B411" s="179" t="s">
        <v>1059</v>
      </c>
      <c r="C411" s="174"/>
      <c r="D411" s="165" t="s">
        <v>1393</v>
      </c>
      <c r="E411" s="177"/>
      <c r="F411" s="177"/>
      <c r="G411" s="180">
        <v>0</v>
      </c>
      <c r="H411" s="180"/>
    </row>
    <row r="412" spans="1:8" ht="12.75">
      <c r="A412" s="179" t="s">
        <v>835</v>
      </c>
      <c r="B412" s="179" t="s">
        <v>2036</v>
      </c>
      <c r="C412" s="174"/>
      <c r="D412" s="165" t="s">
        <v>1394</v>
      </c>
      <c r="E412" s="177"/>
      <c r="F412" s="177"/>
      <c r="G412" s="180">
        <v>15983.79</v>
      </c>
      <c r="H412" s="180"/>
    </row>
    <row r="413" spans="1:8" ht="12.75">
      <c r="A413" s="179" t="s">
        <v>835</v>
      </c>
      <c r="B413" s="179" t="s">
        <v>778</v>
      </c>
      <c r="C413" s="174"/>
      <c r="D413" s="165" t="s">
        <v>1395</v>
      </c>
      <c r="E413" s="177"/>
      <c r="F413" s="177"/>
      <c r="G413" s="180">
        <v>0</v>
      </c>
      <c r="H413" s="180"/>
    </row>
    <row r="414" spans="1:8" ht="12.75">
      <c r="A414" s="179" t="s">
        <v>1396</v>
      </c>
      <c r="B414" s="179" t="s">
        <v>1064</v>
      </c>
      <c r="C414" s="174"/>
      <c r="D414" s="165" t="s">
        <v>1397</v>
      </c>
      <c r="E414" s="177"/>
      <c r="F414" s="177"/>
      <c r="G414" s="180">
        <v>0</v>
      </c>
      <c r="H414" s="180"/>
    </row>
    <row r="415" spans="1:8" ht="12.75">
      <c r="A415" s="179" t="s">
        <v>1398</v>
      </c>
      <c r="B415" s="179" t="s">
        <v>1159</v>
      </c>
      <c r="C415" s="174"/>
      <c r="D415" s="165" t="s">
        <v>1399</v>
      </c>
      <c r="E415" s="177"/>
      <c r="F415" s="177"/>
      <c r="G415" s="180">
        <v>21945938.35</v>
      </c>
      <c r="H415" s="180"/>
    </row>
    <row r="416" spans="1:8" ht="12.75">
      <c r="A416" s="179" t="s">
        <v>1398</v>
      </c>
      <c r="B416" s="179" t="s">
        <v>1400</v>
      </c>
      <c r="C416" s="174"/>
      <c r="D416" s="165" t="s">
        <v>1401</v>
      </c>
      <c r="E416" s="177"/>
      <c r="F416" s="177"/>
      <c r="G416" s="180">
        <v>3217801.17</v>
      </c>
      <c r="H416" s="180"/>
    </row>
    <row r="417" spans="1:8" ht="12.75">
      <c r="A417" s="179" t="s">
        <v>1398</v>
      </c>
      <c r="B417" s="179" t="s">
        <v>1402</v>
      </c>
      <c r="C417" s="174"/>
      <c r="D417" s="165" t="s">
        <v>1403</v>
      </c>
      <c r="E417" s="177"/>
      <c r="F417" s="177"/>
      <c r="G417" s="180">
        <v>21235495.63</v>
      </c>
      <c r="H417" s="180"/>
    </row>
    <row r="418" spans="1:8" ht="12.75">
      <c r="A418" s="179" t="s">
        <v>1398</v>
      </c>
      <c r="B418" s="179" t="s">
        <v>1161</v>
      </c>
      <c r="C418" s="174"/>
      <c r="D418" s="165" t="s">
        <v>1404</v>
      </c>
      <c r="E418" s="177"/>
      <c r="F418" s="177"/>
      <c r="G418" s="180">
        <v>15000000</v>
      </c>
      <c r="H418" s="180"/>
    </row>
    <row r="419" spans="1:8" ht="12.75">
      <c r="A419" s="179" t="s">
        <v>1398</v>
      </c>
      <c r="B419" s="179" t="s">
        <v>1165</v>
      </c>
      <c r="C419" s="174"/>
      <c r="D419" s="165" t="s">
        <v>839</v>
      </c>
      <c r="E419" s="177"/>
      <c r="F419" s="177"/>
      <c r="G419" s="180">
        <v>17851460</v>
      </c>
      <c r="H419" s="180"/>
    </row>
    <row r="420" spans="1:8" ht="12.75">
      <c r="A420" s="179" t="s">
        <v>1398</v>
      </c>
      <c r="B420" s="179" t="s">
        <v>1167</v>
      </c>
      <c r="C420" s="174"/>
      <c r="D420" s="165" t="s">
        <v>840</v>
      </c>
      <c r="E420" s="177"/>
      <c r="F420" s="177"/>
      <c r="G420" s="180">
        <v>509072172.15</v>
      </c>
      <c r="H420" s="180"/>
    </row>
    <row r="421" spans="1:8" ht="12.75">
      <c r="A421" s="179" t="s">
        <v>1398</v>
      </c>
      <c r="B421" s="179" t="s">
        <v>841</v>
      </c>
      <c r="C421" s="174"/>
      <c r="D421" s="165" t="s">
        <v>842</v>
      </c>
      <c r="E421" s="177"/>
      <c r="F421" s="177"/>
      <c r="G421" s="180">
        <v>134793031.32</v>
      </c>
      <c r="H421" s="180"/>
    </row>
    <row r="422" spans="1:8" ht="12.75">
      <c r="A422" s="179" t="s">
        <v>1398</v>
      </c>
      <c r="B422" s="179" t="s">
        <v>2041</v>
      </c>
      <c r="C422" s="174"/>
      <c r="D422" s="165" t="s">
        <v>843</v>
      </c>
      <c r="E422" s="177"/>
      <c r="F422" s="177"/>
      <c r="G422" s="180">
        <v>23146271.32</v>
      </c>
      <c r="H422" s="180"/>
    </row>
    <row r="423" spans="1:8" ht="12.75">
      <c r="A423" s="179" t="s">
        <v>1398</v>
      </c>
      <c r="B423" s="179" t="s">
        <v>2034</v>
      </c>
      <c r="C423" s="174"/>
      <c r="D423" s="165" t="s">
        <v>844</v>
      </c>
      <c r="E423" s="177"/>
      <c r="F423" s="177"/>
      <c r="G423" s="180">
        <v>57599500.57</v>
      </c>
      <c r="H423" s="180"/>
    </row>
    <row r="424" spans="1:8" ht="12.75">
      <c r="A424" s="179" t="s">
        <v>1398</v>
      </c>
      <c r="B424" s="179" t="s">
        <v>1057</v>
      </c>
      <c r="C424" s="173"/>
      <c r="D424" s="165" t="s">
        <v>845</v>
      </c>
      <c r="E424" s="177"/>
      <c r="F424" s="177"/>
      <c r="G424" s="180">
        <v>34141651.33</v>
      </c>
      <c r="H424" s="180"/>
    </row>
    <row r="425" spans="1:8" ht="12.75">
      <c r="A425" s="179" t="s">
        <v>1398</v>
      </c>
      <c r="B425" s="179" t="s">
        <v>1064</v>
      </c>
      <c r="C425" s="173"/>
      <c r="D425" s="165" t="s">
        <v>846</v>
      </c>
      <c r="E425" s="177"/>
      <c r="F425" s="177"/>
      <c r="G425" s="180">
        <v>2416000</v>
      </c>
      <c r="H425" s="180"/>
    </row>
    <row r="426" spans="1:8" ht="12.75">
      <c r="A426" s="179" t="s">
        <v>847</v>
      </c>
      <c r="B426" s="179" t="s">
        <v>1159</v>
      </c>
      <c r="C426" s="173"/>
      <c r="D426" s="165" t="s">
        <v>848</v>
      </c>
      <c r="E426" s="177"/>
      <c r="F426" s="177"/>
      <c r="G426" s="180">
        <v>165598718.03</v>
      </c>
      <c r="H426" s="180"/>
    </row>
    <row r="427" spans="1:8" ht="12.75">
      <c r="A427" s="179" t="s">
        <v>847</v>
      </c>
      <c r="B427" s="179" t="s">
        <v>1167</v>
      </c>
      <c r="C427" s="174"/>
      <c r="D427" s="165" t="s">
        <v>849</v>
      </c>
      <c r="E427" s="177"/>
      <c r="F427" s="177"/>
      <c r="G427" s="180">
        <v>0</v>
      </c>
      <c r="H427" s="180"/>
    </row>
    <row r="428" spans="1:8" ht="12.75">
      <c r="A428" s="179" t="s">
        <v>847</v>
      </c>
      <c r="B428" s="179" t="s">
        <v>2023</v>
      </c>
      <c r="C428" s="174"/>
      <c r="D428" s="165" t="s">
        <v>850</v>
      </c>
      <c r="E428" s="177"/>
      <c r="F428" s="177"/>
      <c r="G428" s="180">
        <v>107167750.77</v>
      </c>
      <c r="H428" s="180"/>
    </row>
    <row r="429" spans="1:8" ht="12.75">
      <c r="A429" s="179" t="s">
        <v>847</v>
      </c>
      <c r="B429" s="179" t="s">
        <v>2044</v>
      </c>
      <c r="C429" s="174"/>
      <c r="D429" s="165" t="s">
        <v>851</v>
      </c>
      <c r="E429" s="177"/>
      <c r="F429" s="177"/>
      <c r="G429" s="180">
        <v>11296742.76</v>
      </c>
      <c r="H429" s="180"/>
    </row>
    <row r="430" spans="1:8" ht="12.75">
      <c r="A430" s="179" t="s">
        <v>847</v>
      </c>
      <c r="B430" s="179" t="s">
        <v>2018</v>
      </c>
      <c r="C430" s="174"/>
      <c r="D430" s="165" t="s">
        <v>852</v>
      </c>
      <c r="E430" s="177"/>
      <c r="F430" s="177"/>
      <c r="G430" s="180">
        <v>0</v>
      </c>
      <c r="H430" s="180"/>
    </row>
    <row r="431" spans="1:8" ht="12.75">
      <c r="A431" s="179" t="s">
        <v>847</v>
      </c>
      <c r="B431" s="179" t="s">
        <v>1696</v>
      </c>
      <c r="C431" s="174"/>
      <c r="D431" s="165" t="s">
        <v>853</v>
      </c>
      <c r="E431" s="177"/>
      <c r="F431" s="177"/>
      <c r="G431" s="180">
        <v>142811801.11</v>
      </c>
      <c r="H431" s="180"/>
    </row>
    <row r="432" spans="1:8" ht="12.75">
      <c r="A432" s="179" t="s">
        <v>847</v>
      </c>
      <c r="B432" s="179" t="s">
        <v>2032</v>
      </c>
      <c r="C432" s="174"/>
      <c r="D432" s="165" t="s">
        <v>854</v>
      </c>
      <c r="E432" s="177"/>
      <c r="F432" s="177"/>
      <c r="G432" s="180">
        <v>0</v>
      </c>
      <c r="H432" s="180"/>
    </row>
    <row r="433" spans="1:8" ht="12.75">
      <c r="A433" s="179" t="s">
        <v>847</v>
      </c>
      <c r="B433" s="179" t="s">
        <v>778</v>
      </c>
      <c r="C433" s="174"/>
      <c r="D433" s="165" t="s">
        <v>855</v>
      </c>
      <c r="E433" s="177"/>
      <c r="F433" s="177"/>
      <c r="G433" s="187">
        <v>167544200</v>
      </c>
      <c r="H433" s="180"/>
    </row>
    <row r="434" spans="1:8" ht="12.75">
      <c r="A434" s="179" t="s">
        <v>856</v>
      </c>
      <c r="B434" s="179" t="s">
        <v>2023</v>
      </c>
      <c r="C434" s="174"/>
      <c r="D434" s="165" t="s">
        <v>857</v>
      </c>
      <c r="E434" s="177"/>
      <c r="F434" s="177"/>
      <c r="G434" s="180">
        <v>203054663.44</v>
      </c>
      <c r="H434" s="180"/>
    </row>
    <row r="435" spans="1:8" ht="12.75">
      <c r="A435" s="179" t="s">
        <v>856</v>
      </c>
      <c r="B435" s="179" t="s">
        <v>2044</v>
      </c>
      <c r="C435" s="174"/>
      <c r="D435" s="165" t="s">
        <v>858</v>
      </c>
      <c r="E435" s="177"/>
      <c r="F435" s="177"/>
      <c r="G435" s="180">
        <v>38044230.78</v>
      </c>
      <c r="H435" s="180"/>
    </row>
    <row r="436" spans="1:8" ht="12.75">
      <c r="A436" s="179" t="s">
        <v>856</v>
      </c>
      <c r="B436" s="179" t="s">
        <v>2018</v>
      </c>
      <c r="C436" s="174"/>
      <c r="D436" s="165" t="s">
        <v>859</v>
      </c>
      <c r="E436" s="190"/>
      <c r="F436" s="177"/>
      <c r="G436" s="180">
        <v>194118553.45</v>
      </c>
      <c r="H436" s="180"/>
    </row>
    <row r="437" spans="1:8" ht="12.75">
      <c r="A437" s="179" t="s">
        <v>856</v>
      </c>
      <c r="B437" s="179" t="s">
        <v>1696</v>
      </c>
      <c r="C437" s="174"/>
      <c r="D437" s="165" t="s">
        <v>860</v>
      </c>
      <c r="E437" s="190"/>
      <c r="F437" s="177"/>
      <c r="G437" s="180">
        <f>111478172.89+370000+27367666.81+657200</f>
        <v>139873039.7</v>
      </c>
      <c r="H437" s="180"/>
    </row>
    <row r="438" spans="1:8" ht="12.75">
      <c r="A438" s="179" t="s">
        <v>856</v>
      </c>
      <c r="B438" s="179" t="s">
        <v>2032</v>
      </c>
      <c r="C438" s="174"/>
      <c r="D438" s="165" t="s">
        <v>861</v>
      </c>
      <c r="E438" s="190"/>
      <c r="F438" s="177"/>
      <c r="G438" s="180">
        <v>65671735.13</v>
      </c>
      <c r="H438" s="180"/>
    </row>
    <row r="439" spans="1:8" ht="12.75">
      <c r="A439" s="179" t="s">
        <v>856</v>
      </c>
      <c r="B439" s="179" t="s">
        <v>2036</v>
      </c>
      <c r="C439" s="174"/>
      <c r="D439" s="165" t="s">
        <v>862</v>
      </c>
      <c r="E439" s="190"/>
      <c r="F439" s="177"/>
      <c r="G439" s="180">
        <v>16055652.57</v>
      </c>
      <c r="H439" s="180"/>
    </row>
    <row r="440" spans="1:8" ht="12.75">
      <c r="A440" s="179" t="s">
        <v>863</v>
      </c>
      <c r="B440" s="179" t="s">
        <v>1159</v>
      </c>
      <c r="C440" s="174"/>
      <c r="D440" s="165" t="s">
        <v>864</v>
      </c>
      <c r="E440" s="190"/>
      <c r="F440" s="177"/>
      <c r="G440" s="180">
        <v>16986731.91</v>
      </c>
      <c r="H440" s="180"/>
    </row>
    <row r="441" spans="1:8" ht="12.75">
      <c r="A441" s="179" t="s">
        <v>863</v>
      </c>
      <c r="B441" s="179" t="s">
        <v>1161</v>
      </c>
      <c r="C441" s="174"/>
      <c r="D441" s="184" t="s">
        <v>865</v>
      </c>
      <c r="E441" s="190"/>
      <c r="F441" s="177"/>
      <c r="G441" s="180">
        <v>7817230.71</v>
      </c>
      <c r="H441" s="180"/>
    </row>
    <row r="442" spans="1:8" ht="12.75">
      <c r="A442" s="179" t="s">
        <v>863</v>
      </c>
      <c r="B442" s="179" t="s">
        <v>1163</v>
      </c>
      <c r="C442" s="173"/>
      <c r="D442" s="165" t="s">
        <v>866</v>
      </c>
      <c r="E442" s="190"/>
      <c r="F442" s="177"/>
      <c r="G442" s="180">
        <v>0</v>
      </c>
      <c r="H442" s="180"/>
    </row>
    <row r="443" spans="1:8" ht="12.75">
      <c r="A443" s="179" t="s">
        <v>863</v>
      </c>
      <c r="B443" s="179" t="s">
        <v>1165</v>
      </c>
      <c r="C443" s="173"/>
      <c r="D443" s="165" t="s">
        <v>867</v>
      </c>
      <c r="E443" s="190"/>
      <c r="F443" s="177"/>
      <c r="G443" s="180">
        <v>0</v>
      </c>
      <c r="H443" s="180"/>
    </row>
    <row r="444" spans="1:8" ht="12.75">
      <c r="A444" s="179" t="s">
        <v>863</v>
      </c>
      <c r="B444" s="179" t="s">
        <v>1167</v>
      </c>
      <c r="C444" s="173"/>
      <c r="D444" s="165" t="s">
        <v>868</v>
      </c>
      <c r="E444" s="190"/>
      <c r="F444" s="177"/>
      <c r="G444" s="180">
        <v>6548001.88</v>
      </c>
      <c r="H444" s="180"/>
    </row>
    <row r="445" spans="1:8" ht="12.75">
      <c r="A445" s="179" t="s">
        <v>863</v>
      </c>
      <c r="B445" s="179" t="s">
        <v>1169</v>
      </c>
      <c r="C445" s="173"/>
      <c r="D445" s="165" t="s">
        <v>869</v>
      </c>
      <c r="E445" s="190"/>
      <c r="F445" s="177"/>
      <c r="G445" s="180">
        <v>0</v>
      </c>
      <c r="H445" s="180"/>
    </row>
    <row r="446" spans="1:8" ht="12.75">
      <c r="A446" s="179" t="s">
        <v>863</v>
      </c>
      <c r="B446" s="179" t="s">
        <v>1</v>
      </c>
      <c r="C446" s="173"/>
      <c r="D446" s="165" t="s">
        <v>870</v>
      </c>
      <c r="E446" s="190"/>
      <c r="F446" s="177"/>
      <c r="G446" s="180">
        <v>395455.55</v>
      </c>
      <c r="H446" s="180"/>
    </row>
    <row r="447" spans="1:8" ht="12.75">
      <c r="A447" s="179" t="s">
        <v>863</v>
      </c>
      <c r="B447" s="179" t="s">
        <v>728</v>
      </c>
      <c r="C447" s="173"/>
      <c r="D447" s="165" t="s">
        <v>871</v>
      </c>
      <c r="E447" s="190"/>
      <c r="F447" s="177"/>
      <c r="G447" s="180">
        <v>0</v>
      </c>
      <c r="H447" s="180"/>
    </row>
    <row r="448" spans="1:8" ht="12.75">
      <c r="A448" s="179" t="s">
        <v>863</v>
      </c>
      <c r="B448" s="179" t="s">
        <v>2041</v>
      </c>
      <c r="C448" s="174"/>
      <c r="D448" s="165" t="s">
        <v>872</v>
      </c>
      <c r="E448" s="190"/>
      <c r="F448" s="177"/>
      <c r="G448" s="180">
        <v>11265647.42</v>
      </c>
      <c r="H448" s="180"/>
    </row>
    <row r="449" spans="1:8" ht="12.75">
      <c r="A449" s="179" t="s">
        <v>863</v>
      </c>
      <c r="B449" s="179" t="s">
        <v>731</v>
      </c>
      <c r="C449" s="174"/>
      <c r="D449" s="165" t="s">
        <v>873</v>
      </c>
      <c r="E449" s="190"/>
      <c r="F449" s="177"/>
      <c r="G449" s="180">
        <v>0</v>
      </c>
      <c r="H449" s="180"/>
    </row>
    <row r="450" spans="1:8" ht="12.75">
      <c r="A450" s="179" t="s">
        <v>863</v>
      </c>
      <c r="B450" s="179" t="s">
        <v>2023</v>
      </c>
      <c r="C450" s="174"/>
      <c r="D450" s="165" t="s">
        <v>874</v>
      </c>
      <c r="E450" s="190"/>
      <c r="F450" s="177"/>
      <c r="G450" s="180">
        <v>656848.78</v>
      </c>
      <c r="H450" s="180"/>
    </row>
    <row r="451" spans="1:8" ht="12.75">
      <c r="A451" s="179" t="s">
        <v>863</v>
      </c>
      <c r="B451" s="179" t="s">
        <v>2044</v>
      </c>
      <c r="C451" s="173"/>
      <c r="D451" s="165" t="s">
        <v>875</v>
      </c>
      <c r="E451" s="190"/>
      <c r="F451" s="177"/>
      <c r="G451" s="180">
        <v>1959292.04</v>
      </c>
      <c r="H451" s="180"/>
    </row>
    <row r="452" spans="1:8" ht="12.75">
      <c r="A452" s="179" t="s">
        <v>863</v>
      </c>
      <c r="B452" s="179" t="s">
        <v>2018</v>
      </c>
      <c r="C452" s="173"/>
      <c r="D452" s="165" t="s">
        <v>876</v>
      </c>
      <c r="E452" s="190"/>
      <c r="F452" s="177"/>
      <c r="G452" s="180">
        <v>1289768.91</v>
      </c>
      <c r="H452" s="180"/>
    </row>
    <row r="453" spans="1:8" ht="12.75">
      <c r="A453" s="179" t="s">
        <v>863</v>
      </c>
      <c r="B453" s="179" t="s">
        <v>1696</v>
      </c>
      <c r="C453" s="174"/>
      <c r="D453" s="165" t="s">
        <v>877</v>
      </c>
      <c r="E453" s="190"/>
      <c r="F453" s="177"/>
      <c r="G453" s="180">
        <v>2239333.58</v>
      </c>
      <c r="H453" s="180"/>
    </row>
    <row r="454" spans="1:8" ht="12.75">
      <c r="A454" s="179" t="s">
        <v>863</v>
      </c>
      <c r="B454" s="179" t="s">
        <v>2032</v>
      </c>
      <c r="C454" s="174"/>
      <c r="D454" s="165" t="s">
        <v>878</v>
      </c>
      <c r="E454" s="190"/>
      <c r="F454" s="177"/>
      <c r="G454" s="180">
        <v>1323465.53</v>
      </c>
      <c r="H454" s="180"/>
    </row>
    <row r="455" spans="1:8" ht="12.75">
      <c r="A455" s="179" t="s">
        <v>863</v>
      </c>
      <c r="B455" s="179" t="s">
        <v>1038</v>
      </c>
      <c r="C455" s="174"/>
      <c r="D455" s="165" t="s">
        <v>1577</v>
      </c>
      <c r="E455" s="190"/>
      <c r="F455" s="177"/>
      <c r="G455" s="180">
        <v>0</v>
      </c>
      <c r="H455" s="180"/>
    </row>
    <row r="456" spans="1:8" ht="12.75">
      <c r="A456" s="179" t="s">
        <v>863</v>
      </c>
      <c r="B456" s="179" t="s">
        <v>1040</v>
      </c>
      <c r="C456" s="173"/>
      <c r="D456" s="165" t="s">
        <v>1578</v>
      </c>
      <c r="E456" s="190"/>
      <c r="F456" s="177"/>
      <c r="G456" s="180">
        <v>1009724.69</v>
      </c>
      <c r="H456" s="180"/>
    </row>
    <row r="457" spans="1:8" ht="12.75">
      <c r="A457" s="179" t="s">
        <v>863</v>
      </c>
      <c r="B457" s="179" t="s">
        <v>1042</v>
      </c>
      <c r="C457" s="174"/>
      <c r="D457" s="165" t="s">
        <v>1579</v>
      </c>
      <c r="E457" s="190"/>
      <c r="F457" s="177"/>
      <c r="G457" s="180">
        <v>630958.41</v>
      </c>
      <c r="H457" s="180"/>
    </row>
    <row r="458" spans="1:8" ht="12.75">
      <c r="A458" s="179" t="s">
        <v>863</v>
      </c>
      <c r="B458" s="179" t="s">
        <v>1743</v>
      </c>
      <c r="C458" s="173"/>
      <c r="D458" s="165" t="s">
        <v>468</v>
      </c>
      <c r="E458" s="190"/>
      <c r="F458" s="177"/>
      <c r="G458" s="180">
        <v>766571.27</v>
      </c>
      <c r="H458" s="180"/>
    </row>
    <row r="459" spans="1:8" ht="12.75">
      <c r="A459" s="179" t="s">
        <v>863</v>
      </c>
      <c r="B459" s="179" t="s">
        <v>1045</v>
      </c>
      <c r="C459" s="173"/>
      <c r="D459" s="165" t="s">
        <v>469</v>
      </c>
      <c r="E459" s="190"/>
      <c r="F459" s="177"/>
      <c r="G459" s="180">
        <v>1045186.73</v>
      </c>
      <c r="H459" s="180"/>
    </row>
    <row r="460" spans="1:8" ht="12.75">
      <c r="A460" s="179" t="s">
        <v>863</v>
      </c>
      <c r="B460" s="179" t="s">
        <v>2034</v>
      </c>
      <c r="C460" s="174"/>
      <c r="D460" s="165" t="s">
        <v>1756</v>
      </c>
      <c r="E460" s="190"/>
      <c r="F460" s="177"/>
      <c r="G460" s="180">
        <v>1537743.78</v>
      </c>
      <c r="H460" s="180"/>
    </row>
    <row r="461" spans="1:8" ht="12.75">
      <c r="A461" s="179" t="s">
        <v>863</v>
      </c>
      <c r="B461" s="179" t="s">
        <v>1048</v>
      </c>
      <c r="C461" s="174"/>
      <c r="D461" s="165" t="s">
        <v>1757</v>
      </c>
      <c r="E461" s="190"/>
      <c r="F461" s="177"/>
      <c r="G461" s="180">
        <v>0</v>
      </c>
      <c r="H461" s="180"/>
    </row>
    <row r="462" spans="1:8" ht="12.75">
      <c r="A462" s="179" t="s">
        <v>863</v>
      </c>
      <c r="B462" s="179" t="s">
        <v>1050</v>
      </c>
      <c r="C462" s="174"/>
      <c r="D462" s="165" t="s">
        <v>1758</v>
      </c>
      <c r="E462" s="190"/>
      <c r="F462" s="177"/>
      <c r="G462" s="180">
        <v>0</v>
      </c>
      <c r="H462" s="180"/>
    </row>
    <row r="463" spans="1:8" ht="12.75">
      <c r="A463" s="179" t="s">
        <v>863</v>
      </c>
      <c r="B463" s="179" t="s">
        <v>1052</v>
      </c>
      <c r="C463" s="174"/>
      <c r="D463" s="165" t="s">
        <v>649</v>
      </c>
      <c r="E463" s="190"/>
      <c r="F463" s="177"/>
      <c r="G463" s="180">
        <v>243000</v>
      </c>
      <c r="H463" s="180"/>
    </row>
    <row r="464" spans="1:8" ht="12.75">
      <c r="A464" s="179" t="s">
        <v>863</v>
      </c>
      <c r="B464" s="179" t="s">
        <v>1057</v>
      </c>
      <c r="C464" s="174"/>
      <c r="D464" s="165" t="s">
        <v>1228</v>
      </c>
      <c r="E464" s="190"/>
      <c r="F464" s="177"/>
      <c r="G464" s="180">
        <v>1826341.81</v>
      </c>
      <c r="H464" s="180"/>
    </row>
    <row r="465" spans="1:8" ht="12.75">
      <c r="A465" s="179" t="s">
        <v>863</v>
      </c>
      <c r="B465" s="179" t="s">
        <v>1059</v>
      </c>
      <c r="C465" s="174"/>
      <c r="D465" s="165" t="s">
        <v>1229</v>
      </c>
      <c r="E465" s="190"/>
      <c r="F465" s="177"/>
      <c r="G465" s="180">
        <v>10158024.87</v>
      </c>
      <c r="H465" s="180"/>
    </row>
    <row r="466" spans="1:8" ht="12.75">
      <c r="A466" s="179" t="s">
        <v>863</v>
      </c>
      <c r="B466" s="179" t="s">
        <v>2036</v>
      </c>
      <c r="C466" s="174"/>
      <c r="D466" s="165" t="s">
        <v>1230</v>
      </c>
      <c r="E466" s="190"/>
      <c r="F466" s="177"/>
      <c r="G466" s="180">
        <v>19063.31</v>
      </c>
      <c r="H466" s="180"/>
    </row>
    <row r="467" spans="1:8" ht="12.75">
      <c r="A467" s="179" t="s">
        <v>863</v>
      </c>
      <c r="B467" s="179" t="s">
        <v>1062</v>
      </c>
      <c r="C467" s="174"/>
      <c r="D467" s="165" t="s">
        <v>1231</v>
      </c>
      <c r="E467" s="190"/>
      <c r="F467" s="177"/>
      <c r="G467" s="180">
        <v>0</v>
      </c>
      <c r="H467" s="180"/>
    </row>
    <row r="468" spans="1:8" ht="12.75">
      <c r="A468" s="179" t="s">
        <v>863</v>
      </c>
      <c r="B468" s="179" t="s">
        <v>1064</v>
      </c>
      <c r="C468" s="174"/>
      <c r="D468" s="165" t="s">
        <v>944</v>
      </c>
      <c r="E468" s="190"/>
      <c r="F468" s="177"/>
      <c r="G468" s="180">
        <v>2698623.43</v>
      </c>
      <c r="H468" s="180"/>
    </row>
    <row r="469" spans="1:8" ht="12.75">
      <c r="A469" s="179" t="s">
        <v>863</v>
      </c>
      <c r="B469" s="179" t="s">
        <v>1066</v>
      </c>
      <c r="C469" s="174"/>
      <c r="D469" s="165" t="s">
        <v>945</v>
      </c>
      <c r="E469" s="190"/>
      <c r="F469" s="177"/>
      <c r="G469" s="180">
        <v>88801.8</v>
      </c>
      <c r="H469" s="180"/>
    </row>
    <row r="470" spans="1:8" ht="12.75">
      <c r="A470" s="179" t="s">
        <v>863</v>
      </c>
      <c r="B470" s="179" t="s">
        <v>778</v>
      </c>
      <c r="C470" s="174"/>
      <c r="D470" s="165" t="s">
        <v>946</v>
      </c>
      <c r="E470" s="190"/>
      <c r="F470" s="177"/>
      <c r="G470" s="180">
        <v>196287.06</v>
      </c>
      <c r="H470" s="180"/>
    </row>
    <row r="471" spans="1:8" ht="12.75">
      <c r="A471" s="179" t="s">
        <v>947</v>
      </c>
      <c r="B471" s="179" t="s">
        <v>1159</v>
      </c>
      <c r="C471" s="173"/>
      <c r="D471" s="165" t="s">
        <v>948</v>
      </c>
      <c r="E471" s="190"/>
      <c r="F471" s="177"/>
      <c r="G471" s="180">
        <f>75455393.39+16150+11810</f>
        <v>75483353.39</v>
      </c>
      <c r="H471" s="180"/>
    </row>
    <row r="472" spans="1:8" ht="12.75">
      <c r="A472" s="179" t="s">
        <v>947</v>
      </c>
      <c r="B472" s="179" t="s">
        <v>1161</v>
      </c>
      <c r="C472" s="174"/>
      <c r="D472" s="165" t="s">
        <v>611</v>
      </c>
      <c r="E472" s="190"/>
      <c r="F472" s="177"/>
      <c r="G472" s="180">
        <v>3678749.46</v>
      </c>
      <c r="H472" s="180"/>
    </row>
    <row r="473" spans="1:8" ht="12.75">
      <c r="A473" s="179" t="s">
        <v>947</v>
      </c>
      <c r="B473" s="179" t="s">
        <v>1163</v>
      </c>
      <c r="C473" s="173"/>
      <c r="D473" s="165" t="s">
        <v>612</v>
      </c>
      <c r="E473" s="191"/>
      <c r="F473" s="177"/>
      <c r="G473" s="180">
        <v>799466.7</v>
      </c>
      <c r="H473" s="180"/>
    </row>
    <row r="474" spans="1:8" ht="12.75">
      <c r="A474" s="179" t="s">
        <v>947</v>
      </c>
      <c r="B474" s="179" t="s">
        <v>1165</v>
      </c>
      <c r="C474" s="173"/>
      <c r="D474" s="165" t="s">
        <v>613</v>
      </c>
      <c r="E474" s="177"/>
      <c r="F474" s="177"/>
      <c r="G474" s="180">
        <v>1071869.97</v>
      </c>
      <c r="H474" s="180"/>
    </row>
    <row r="475" spans="1:8" ht="12.75">
      <c r="A475" s="179" t="s">
        <v>947</v>
      </c>
      <c r="B475" s="179" t="s">
        <v>1167</v>
      </c>
      <c r="C475" s="173"/>
      <c r="D475" s="165" t="s">
        <v>614</v>
      </c>
      <c r="E475" s="177"/>
      <c r="F475" s="177"/>
      <c r="G475" s="180">
        <v>7456504.85</v>
      </c>
      <c r="H475" s="180"/>
    </row>
    <row r="476" spans="1:8" ht="12.75">
      <c r="A476" s="179" t="s">
        <v>947</v>
      </c>
      <c r="B476" s="179" t="s">
        <v>1169</v>
      </c>
      <c r="C476" s="173"/>
      <c r="D476" s="165" t="s">
        <v>615</v>
      </c>
      <c r="E476" s="177"/>
      <c r="F476" s="177"/>
      <c r="G476" s="180">
        <v>1747134.17</v>
      </c>
      <c r="H476" s="180"/>
    </row>
    <row r="477" spans="1:8" ht="12.75">
      <c r="A477" s="179" t="s">
        <v>947</v>
      </c>
      <c r="B477" s="179" t="s">
        <v>1</v>
      </c>
      <c r="C477" s="173"/>
      <c r="D477" s="165" t="s">
        <v>616</v>
      </c>
      <c r="E477" s="177"/>
      <c r="F477" s="177"/>
      <c r="G477" s="180">
        <v>2366543.22</v>
      </c>
      <c r="H477" s="180"/>
    </row>
    <row r="478" spans="1:8" ht="12.75">
      <c r="A478" s="179" t="s">
        <v>947</v>
      </c>
      <c r="B478" s="179" t="s">
        <v>728</v>
      </c>
      <c r="C478" s="173"/>
      <c r="D478" s="165" t="s">
        <v>617</v>
      </c>
      <c r="E478" s="177"/>
      <c r="F478" s="177"/>
      <c r="G478" s="180">
        <v>856012.75</v>
      </c>
      <c r="H478" s="180"/>
    </row>
    <row r="479" spans="1:8" ht="12.75">
      <c r="A479" s="179" t="s">
        <v>947</v>
      </c>
      <c r="B479" s="179" t="s">
        <v>841</v>
      </c>
      <c r="C479" s="174"/>
      <c r="D479" s="165" t="s">
        <v>618</v>
      </c>
      <c r="E479" s="177"/>
      <c r="F479" s="177"/>
      <c r="G479" s="180">
        <v>77762071.87</v>
      </c>
      <c r="H479" s="180"/>
    </row>
    <row r="480" spans="1:8" ht="12.75">
      <c r="A480" s="179" t="s">
        <v>947</v>
      </c>
      <c r="B480" s="179" t="s">
        <v>2041</v>
      </c>
      <c r="C480" s="174"/>
      <c r="D480" s="165" t="s">
        <v>619</v>
      </c>
      <c r="E480" s="177"/>
      <c r="F480" s="177"/>
      <c r="G480" s="180">
        <v>16927294.31</v>
      </c>
      <c r="H480" s="180"/>
    </row>
    <row r="481" spans="1:8" ht="12.75">
      <c r="A481" s="179" t="s">
        <v>947</v>
      </c>
      <c r="B481" s="179" t="s">
        <v>731</v>
      </c>
      <c r="C481" s="174"/>
      <c r="D481" s="165" t="s">
        <v>620</v>
      </c>
      <c r="E481" s="177"/>
      <c r="F481" s="177"/>
      <c r="G481" s="180">
        <v>126413.38</v>
      </c>
      <c r="H481" s="180"/>
    </row>
    <row r="482" spans="1:8" ht="12.75">
      <c r="A482" s="179" t="s">
        <v>947</v>
      </c>
      <c r="B482" s="179" t="s">
        <v>2023</v>
      </c>
      <c r="C482" s="174"/>
      <c r="D482" s="165" t="s">
        <v>621</v>
      </c>
      <c r="E482" s="177"/>
      <c r="F482" s="177"/>
      <c r="G482" s="180">
        <v>912215.57</v>
      </c>
      <c r="H482" s="180"/>
    </row>
    <row r="483" spans="1:8" ht="12.75">
      <c r="A483" s="179" t="s">
        <v>947</v>
      </c>
      <c r="B483" s="179" t="s">
        <v>2044</v>
      </c>
      <c r="C483" s="173"/>
      <c r="D483" s="165" t="s">
        <v>622</v>
      </c>
      <c r="E483" s="177"/>
      <c r="F483" s="177"/>
      <c r="G483" s="180">
        <v>1360445.12</v>
      </c>
      <c r="H483" s="180"/>
    </row>
    <row r="484" spans="1:8" ht="12.75">
      <c r="A484" s="179" t="s">
        <v>947</v>
      </c>
      <c r="B484" s="179" t="s">
        <v>2018</v>
      </c>
      <c r="C484" s="173"/>
      <c r="D484" s="165" t="s">
        <v>623</v>
      </c>
      <c r="E484" s="177"/>
      <c r="F484" s="177"/>
      <c r="G484" s="180">
        <v>691925.71</v>
      </c>
      <c r="H484" s="180"/>
    </row>
    <row r="485" spans="1:8" ht="12.75">
      <c r="A485" s="179" t="s">
        <v>947</v>
      </c>
      <c r="B485" s="179" t="s">
        <v>1696</v>
      </c>
      <c r="C485" s="174"/>
      <c r="D485" s="165" t="s">
        <v>624</v>
      </c>
      <c r="E485" s="177"/>
      <c r="F485" s="177"/>
      <c r="G485" s="180">
        <v>2483205.53</v>
      </c>
      <c r="H485" s="180"/>
    </row>
    <row r="486" spans="1:8" ht="12.75">
      <c r="A486" s="179" t="s">
        <v>947</v>
      </c>
      <c r="B486" s="179" t="s">
        <v>2032</v>
      </c>
      <c r="C486" s="174"/>
      <c r="D486" s="165" t="s">
        <v>625</v>
      </c>
      <c r="E486" s="177"/>
      <c r="F486" s="177"/>
      <c r="G486" s="180">
        <v>1288908.83</v>
      </c>
      <c r="H486" s="180"/>
    </row>
    <row r="487" spans="1:8" ht="12.75">
      <c r="A487" s="179" t="s">
        <v>947</v>
      </c>
      <c r="B487" s="179" t="s">
        <v>1038</v>
      </c>
      <c r="C487" s="174"/>
      <c r="D487" s="165" t="s">
        <v>626</v>
      </c>
      <c r="E487" s="177"/>
      <c r="F487" s="177"/>
      <c r="G487" s="180">
        <v>0</v>
      </c>
      <c r="H487" s="180"/>
    </row>
    <row r="488" spans="1:8" ht="12.75">
      <c r="A488" s="179" t="s">
        <v>947</v>
      </c>
      <c r="B488" s="179" t="s">
        <v>1040</v>
      </c>
      <c r="C488" s="173"/>
      <c r="D488" s="165" t="s">
        <v>627</v>
      </c>
      <c r="E488" s="177"/>
      <c r="F488" s="177"/>
      <c r="G488" s="180">
        <v>4774386.91</v>
      </c>
      <c r="H488" s="180"/>
    </row>
    <row r="489" spans="1:8" ht="12.75">
      <c r="A489" s="179" t="s">
        <v>947</v>
      </c>
      <c r="B489" s="179" t="s">
        <v>1042</v>
      </c>
      <c r="C489" s="174"/>
      <c r="D489" s="165" t="s">
        <v>628</v>
      </c>
      <c r="E489" s="177"/>
      <c r="F489" s="177"/>
      <c r="G489" s="180">
        <v>1121345.39</v>
      </c>
      <c r="H489" s="180"/>
    </row>
    <row r="490" spans="1:8" ht="12.75">
      <c r="A490" s="179" t="s">
        <v>947</v>
      </c>
      <c r="B490" s="179" t="s">
        <v>1743</v>
      </c>
      <c r="C490" s="173"/>
      <c r="D490" s="165" t="s">
        <v>629</v>
      </c>
      <c r="E490" s="177"/>
      <c r="F490" s="177"/>
      <c r="G490" s="180">
        <v>555252.69</v>
      </c>
      <c r="H490" s="180"/>
    </row>
    <row r="491" spans="1:8" ht="12.75">
      <c r="A491" s="179" t="s">
        <v>947</v>
      </c>
      <c r="B491" s="179" t="s">
        <v>1045</v>
      </c>
      <c r="C491" s="173"/>
      <c r="D491" s="165" t="s">
        <v>630</v>
      </c>
      <c r="E491" s="177"/>
      <c r="F491" s="177"/>
      <c r="G491" s="180">
        <v>3544164.81</v>
      </c>
      <c r="H491" s="180"/>
    </row>
    <row r="492" spans="1:8" ht="12.75">
      <c r="A492" s="179" t="s">
        <v>947</v>
      </c>
      <c r="B492" s="179" t="s">
        <v>2034</v>
      </c>
      <c r="C492" s="174"/>
      <c r="D492" s="165" t="s">
        <v>631</v>
      </c>
      <c r="E492" s="177"/>
      <c r="F492" s="177"/>
      <c r="G492" s="180">
        <v>4754485.32</v>
      </c>
      <c r="H492" s="180"/>
    </row>
    <row r="493" spans="1:8" ht="12.75">
      <c r="A493" s="179" t="s">
        <v>947</v>
      </c>
      <c r="B493" s="179" t="s">
        <v>1048</v>
      </c>
      <c r="C493" s="174"/>
      <c r="D493" s="165" t="s">
        <v>632</v>
      </c>
      <c r="E493" s="177"/>
      <c r="F493" s="177"/>
      <c r="G493" s="180">
        <v>0</v>
      </c>
      <c r="H493" s="180"/>
    </row>
    <row r="494" spans="1:8" ht="12.75">
      <c r="A494" s="179" t="s">
        <v>947</v>
      </c>
      <c r="B494" s="179" t="s">
        <v>1050</v>
      </c>
      <c r="C494" s="174"/>
      <c r="D494" s="165" t="s">
        <v>633</v>
      </c>
      <c r="E494" s="177"/>
      <c r="F494" s="177"/>
      <c r="G494" s="180">
        <v>0</v>
      </c>
      <c r="H494" s="180"/>
    </row>
    <row r="495" spans="1:8" ht="12.75">
      <c r="A495" s="179" t="s">
        <v>947</v>
      </c>
      <c r="B495" s="179" t="s">
        <v>1052</v>
      </c>
      <c r="C495" s="174"/>
      <c r="D495" s="165" t="s">
        <v>634</v>
      </c>
      <c r="E495" s="177"/>
      <c r="F495" s="177"/>
      <c r="G495" s="180">
        <v>0</v>
      </c>
      <c r="H495" s="180"/>
    </row>
    <row r="496" spans="1:8" ht="12.75">
      <c r="A496" s="179" t="s">
        <v>947</v>
      </c>
      <c r="B496" s="179" t="s">
        <v>1057</v>
      </c>
      <c r="C496" s="174"/>
      <c r="D496" s="165" t="s">
        <v>635</v>
      </c>
      <c r="E496" s="177"/>
      <c r="F496" s="177"/>
      <c r="G496" s="180">
        <v>6939007.96</v>
      </c>
      <c r="H496" s="180"/>
    </row>
    <row r="497" spans="1:8" ht="12.75">
      <c r="A497" s="179" t="s">
        <v>947</v>
      </c>
      <c r="B497" s="179" t="s">
        <v>1059</v>
      </c>
      <c r="C497" s="174"/>
      <c r="D497" s="165" t="s">
        <v>636</v>
      </c>
      <c r="E497" s="177"/>
      <c r="F497" s="177"/>
      <c r="G497" s="180">
        <v>3066512.84</v>
      </c>
      <c r="H497" s="180"/>
    </row>
    <row r="498" spans="1:8" ht="12.75">
      <c r="A498" s="179" t="s">
        <v>947</v>
      </c>
      <c r="B498" s="179" t="s">
        <v>2036</v>
      </c>
      <c r="C498" s="174"/>
      <c r="D498" s="165" t="s">
        <v>637</v>
      </c>
      <c r="E498" s="177"/>
      <c r="F498" s="177"/>
      <c r="G498" s="180">
        <v>4503154.59</v>
      </c>
      <c r="H498" s="180"/>
    </row>
    <row r="499" spans="1:8" ht="12.75">
      <c r="A499" s="179" t="s">
        <v>947</v>
      </c>
      <c r="B499" s="179" t="s">
        <v>1062</v>
      </c>
      <c r="C499" s="174"/>
      <c r="D499" s="165" t="s">
        <v>638</v>
      </c>
      <c r="E499" s="177"/>
      <c r="F499" s="177"/>
      <c r="G499" s="180">
        <v>319823.95</v>
      </c>
      <c r="H499" s="180"/>
    </row>
    <row r="500" spans="1:8" ht="12.75">
      <c r="A500" s="179" t="s">
        <v>947</v>
      </c>
      <c r="B500" s="179" t="s">
        <v>1064</v>
      </c>
      <c r="C500" s="174"/>
      <c r="D500" s="165" t="s">
        <v>19</v>
      </c>
      <c r="E500" s="177"/>
      <c r="F500" s="177"/>
      <c r="G500" s="180">
        <v>13312677.58</v>
      </c>
      <c r="H500" s="180"/>
    </row>
    <row r="501" spans="1:8" ht="12.75">
      <c r="A501" s="179" t="s">
        <v>947</v>
      </c>
      <c r="B501" s="179" t="s">
        <v>1066</v>
      </c>
      <c r="C501" s="174"/>
      <c r="D501" s="165" t="s">
        <v>20</v>
      </c>
      <c r="E501" s="177"/>
      <c r="F501" s="177"/>
      <c r="G501" s="180">
        <v>1491534.58</v>
      </c>
      <c r="H501" s="180"/>
    </row>
    <row r="502" spans="1:8" ht="12.75">
      <c r="A502" s="179" t="s">
        <v>947</v>
      </c>
      <c r="B502" s="179" t="s">
        <v>778</v>
      </c>
      <c r="C502" s="174"/>
      <c r="D502" s="165" t="s">
        <v>21</v>
      </c>
      <c r="E502" s="177"/>
      <c r="F502" s="177"/>
      <c r="G502" s="180">
        <v>2181667.42</v>
      </c>
      <c r="H502" s="180"/>
    </row>
    <row r="503" spans="1:8" ht="12.75">
      <c r="A503" s="179" t="s">
        <v>22</v>
      </c>
      <c r="B503" s="179" t="s">
        <v>1159</v>
      </c>
      <c r="C503" s="173"/>
      <c r="D503" s="165" t="s">
        <v>23</v>
      </c>
      <c r="E503" s="177"/>
      <c r="F503" s="177"/>
      <c r="G503" s="180">
        <v>100674496.14</v>
      </c>
      <c r="H503" s="180"/>
    </row>
    <row r="504" spans="1:8" ht="12.75">
      <c r="A504" s="179" t="s">
        <v>22</v>
      </c>
      <c r="B504" s="179" t="s">
        <v>1161</v>
      </c>
      <c r="C504" s="174"/>
      <c r="D504" s="165" t="s">
        <v>24</v>
      </c>
      <c r="E504" s="177"/>
      <c r="F504" s="177"/>
      <c r="G504" s="180">
        <v>1102714</v>
      </c>
      <c r="H504" s="180"/>
    </row>
    <row r="505" spans="1:8" ht="12.75">
      <c r="A505" s="179" t="s">
        <v>22</v>
      </c>
      <c r="B505" s="179" t="s">
        <v>1163</v>
      </c>
      <c r="C505" s="173"/>
      <c r="D505" s="165" t="s">
        <v>25</v>
      </c>
      <c r="E505" s="177"/>
      <c r="F505" s="177"/>
      <c r="G505" s="180">
        <v>970708</v>
      </c>
      <c r="H505" s="180"/>
    </row>
    <row r="506" spans="1:8" ht="12.75">
      <c r="A506" s="179" t="s">
        <v>22</v>
      </c>
      <c r="B506" s="179" t="s">
        <v>1165</v>
      </c>
      <c r="C506" s="173"/>
      <c r="D506" s="165" t="s">
        <v>26</v>
      </c>
      <c r="E506" s="177"/>
      <c r="F506" s="177"/>
      <c r="G506" s="180">
        <v>2284465</v>
      </c>
      <c r="H506" s="180"/>
    </row>
    <row r="507" spans="1:8" ht="12.75">
      <c r="A507" s="179" t="s">
        <v>22</v>
      </c>
      <c r="B507" s="179" t="s">
        <v>1167</v>
      </c>
      <c r="C507" s="173"/>
      <c r="D507" s="165" t="s">
        <v>27</v>
      </c>
      <c r="E507" s="177"/>
      <c r="F507" s="177"/>
      <c r="G507" s="180">
        <v>8094233.34</v>
      </c>
      <c r="H507" s="180"/>
    </row>
    <row r="508" spans="1:8" ht="12.75">
      <c r="A508" s="179" t="s">
        <v>22</v>
      </c>
      <c r="B508" s="179" t="s">
        <v>1169</v>
      </c>
      <c r="C508" s="173"/>
      <c r="D508" s="165" t="s">
        <v>28</v>
      </c>
      <c r="E508" s="177"/>
      <c r="F508" s="177"/>
      <c r="G508" s="180">
        <v>2000</v>
      </c>
      <c r="H508" s="180"/>
    </row>
    <row r="509" spans="1:8" ht="12.75">
      <c r="A509" s="179" t="s">
        <v>22</v>
      </c>
      <c r="B509" s="179" t="s">
        <v>1</v>
      </c>
      <c r="C509" s="173"/>
      <c r="D509" s="165" t="s">
        <v>29</v>
      </c>
      <c r="E509" s="177"/>
      <c r="F509" s="177"/>
      <c r="G509" s="180">
        <v>0</v>
      </c>
      <c r="H509" s="180"/>
    </row>
    <row r="510" spans="1:8" ht="12.75">
      <c r="A510" s="179" t="s">
        <v>22</v>
      </c>
      <c r="B510" s="179" t="s">
        <v>728</v>
      </c>
      <c r="C510" s="173"/>
      <c r="D510" s="165" t="s">
        <v>30</v>
      </c>
      <c r="E510" s="177"/>
      <c r="F510" s="177"/>
      <c r="G510" s="180">
        <v>0</v>
      </c>
      <c r="H510" s="180"/>
    </row>
    <row r="511" spans="1:8" ht="12.75">
      <c r="A511" s="179" t="s">
        <v>22</v>
      </c>
      <c r="B511" s="179" t="s">
        <v>2041</v>
      </c>
      <c r="C511" s="174"/>
      <c r="D511" s="165" t="s">
        <v>31</v>
      </c>
      <c r="E511" s="177"/>
      <c r="F511" s="177"/>
      <c r="G511" s="180">
        <v>17089763.18</v>
      </c>
      <c r="H511" s="180"/>
    </row>
    <row r="512" spans="1:8" ht="12.75">
      <c r="A512" s="179" t="s">
        <v>22</v>
      </c>
      <c r="B512" s="179" t="s">
        <v>731</v>
      </c>
      <c r="C512" s="174"/>
      <c r="D512" s="165" t="s">
        <v>32</v>
      </c>
      <c r="E512" s="177"/>
      <c r="F512" s="177"/>
      <c r="G512" s="180">
        <v>786054</v>
      </c>
      <c r="H512" s="180"/>
    </row>
    <row r="513" spans="1:8" ht="12.75">
      <c r="A513" s="179" t="s">
        <v>22</v>
      </c>
      <c r="B513" s="179" t="s">
        <v>2023</v>
      </c>
      <c r="C513" s="174"/>
      <c r="D513" s="165" t="s">
        <v>33</v>
      </c>
      <c r="E513" s="177"/>
      <c r="F513" s="177"/>
      <c r="G513" s="180">
        <v>0</v>
      </c>
      <c r="H513" s="180"/>
    </row>
    <row r="514" spans="1:8" ht="12.75">
      <c r="A514" s="179" t="s">
        <v>22</v>
      </c>
      <c r="B514" s="179" t="s">
        <v>2044</v>
      </c>
      <c r="C514" s="173"/>
      <c r="D514" s="165" t="s">
        <v>34</v>
      </c>
      <c r="E514" s="177"/>
      <c r="F514" s="177"/>
      <c r="G514" s="180">
        <v>0</v>
      </c>
      <c r="H514" s="180"/>
    </row>
    <row r="515" spans="1:8" ht="12.75">
      <c r="A515" s="179" t="s">
        <v>22</v>
      </c>
      <c r="B515" s="179" t="s">
        <v>2018</v>
      </c>
      <c r="C515" s="173"/>
      <c r="D515" s="165" t="s">
        <v>35</v>
      </c>
      <c r="E515" s="177"/>
      <c r="F515" s="177"/>
      <c r="G515" s="180">
        <v>0</v>
      </c>
      <c r="H515" s="180"/>
    </row>
    <row r="516" spans="1:8" ht="12.75">
      <c r="A516" s="179" t="s">
        <v>22</v>
      </c>
      <c r="B516" s="179" t="s">
        <v>1696</v>
      </c>
      <c r="C516" s="174"/>
      <c r="D516" s="165" t="s">
        <v>36</v>
      </c>
      <c r="E516" s="177"/>
      <c r="F516" s="177"/>
      <c r="G516" s="180">
        <v>356000</v>
      </c>
      <c r="H516" s="180"/>
    </row>
    <row r="517" spans="1:8" ht="12.75">
      <c r="A517" s="179" t="s">
        <v>22</v>
      </c>
      <c r="B517" s="179" t="s">
        <v>2032</v>
      </c>
      <c r="C517" s="174"/>
      <c r="D517" s="165" t="s">
        <v>37</v>
      </c>
      <c r="E517" s="177"/>
      <c r="F517" s="177"/>
      <c r="G517" s="180">
        <v>0</v>
      </c>
      <c r="H517" s="180"/>
    </row>
    <row r="518" spans="1:8" ht="12.75">
      <c r="A518" s="179" t="s">
        <v>22</v>
      </c>
      <c r="B518" s="179" t="s">
        <v>1038</v>
      </c>
      <c r="C518" s="174"/>
      <c r="D518" s="165" t="s">
        <v>38</v>
      </c>
      <c r="E518" s="177"/>
      <c r="F518" s="177"/>
      <c r="G518" s="180">
        <v>0</v>
      </c>
      <c r="H518" s="180"/>
    </row>
    <row r="519" spans="1:8" ht="12.75">
      <c r="A519" s="179" t="s">
        <v>22</v>
      </c>
      <c r="B519" s="179" t="s">
        <v>1040</v>
      </c>
      <c r="C519" s="173"/>
      <c r="D519" s="165" t="s">
        <v>39</v>
      </c>
      <c r="E519" s="177"/>
      <c r="F519" s="177"/>
      <c r="G519" s="180">
        <v>0</v>
      </c>
      <c r="H519" s="180"/>
    </row>
    <row r="520" spans="1:8" ht="12.75">
      <c r="A520" s="179" t="s">
        <v>22</v>
      </c>
      <c r="B520" s="179" t="s">
        <v>1042</v>
      </c>
      <c r="C520" s="174"/>
      <c r="D520" s="165" t="s">
        <v>40</v>
      </c>
      <c r="E520" s="177"/>
      <c r="F520" s="177"/>
      <c r="G520" s="180">
        <v>0</v>
      </c>
      <c r="H520" s="180"/>
    </row>
    <row r="521" spans="1:8" ht="12.75">
      <c r="A521" s="179" t="s">
        <v>22</v>
      </c>
      <c r="B521" s="179" t="s">
        <v>1743</v>
      </c>
      <c r="C521" s="173"/>
      <c r="D521" s="165" t="s">
        <v>169</v>
      </c>
      <c r="E521" s="177"/>
      <c r="F521" s="177"/>
      <c r="G521" s="180">
        <v>0</v>
      </c>
      <c r="H521" s="180"/>
    </row>
    <row r="522" spans="1:8" ht="12.75">
      <c r="A522" s="179" t="s">
        <v>22</v>
      </c>
      <c r="B522" s="179" t="s">
        <v>1045</v>
      </c>
      <c r="C522" s="173"/>
      <c r="D522" s="165" t="s">
        <v>170</v>
      </c>
      <c r="E522" s="177"/>
      <c r="F522" s="177"/>
      <c r="G522" s="180">
        <v>677121</v>
      </c>
      <c r="H522" s="180"/>
    </row>
    <row r="523" spans="1:8" ht="12.75">
      <c r="A523" s="179" t="s">
        <v>22</v>
      </c>
      <c r="B523" s="179" t="s">
        <v>2034</v>
      </c>
      <c r="C523" s="174"/>
      <c r="D523" s="165" t="s">
        <v>171</v>
      </c>
      <c r="E523" s="177"/>
      <c r="F523" s="177"/>
      <c r="G523" s="180">
        <v>530155.33</v>
      </c>
      <c r="H523" s="180"/>
    </row>
    <row r="524" spans="1:8" ht="12.75">
      <c r="A524" s="179" t="s">
        <v>22</v>
      </c>
      <c r="B524" s="179" t="s">
        <v>1048</v>
      </c>
      <c r="C524" s="174"/>
      <c r="D524" s="165" t="s">
        <v>172</v>
      </c>
      <c r="E524" s="177"/>
      <c r="F524" s="177"/>
      <c r="G524" s="180">
        <v>1424150</v>
      </c>
      <c r="H524" s="180"/>
    </row>
    <row r="525" spans="1:8" ht="12.75">
      <c r="A525" s="179" t="s">
        <v>22</v>
      </c>
      <c r="B525" s="179" t="s">
        <v>1050</v>
      </c>
      <c r="C525" s="174"/>
      <c r="D525" s="165" t="s">
        <v>173</v>
      </c>
      <c r="E525" s="177"/>
      <c r="F525" s="177"/>
      <c r="G525" s="180">
        <v>0</v>
      </c>
      <c r="H525" s="180"/>
    </row>
    <row r="526" spans="1:8" ht="12.75">
      <c r="A526" s="179" t="s">
        <v>22</v>
      </c>
      <c r="B526" s="179" t="s">
        <v>1052</v>
      </c>
      <c r="C526" s="174"/>
      <c r="D526" s="165" t="s">
        <v>174</v>
      </c>
      <c r="E526" s="177"/>
      <c r="F526" s="177"/>
      <c r="G526" s="180">
        <v>0</v>
      </c>
      <c r="H526" s="180"/>
    </row>
    <row r="527" spans="1:8" ht="12.75">
      <c r="A527" s="179" t="s">
        <v>22</v>
      </c>
      <c r="B527" s="179" t="s">
        <v>1057</v>
      </c>
      <c r="C527" s="174"/>
      <c r="D527" s="165" t="s">
        <v>175</v>
      </c>
      <c r="E527" s="177"/>
      <c r="F527" s="177"/>
      <c r="G527" s="180">
        <v>4256827</v>
      </c>
      <c r="H527" s="180"/>
    </row>
    <row r="528" spans="1:8" ht="12.75">
      <c r="A528" s="179" t="s">
        <v>22</v>
      </c>
      <c r="B528" s="179" t="s">
        <v>1059</v>
      </c>
      <c r="C528" s="174"/>
      <c r="D528" s="165" t="s">
        <v>176</v>
      </c>
      <c r="E528" s="177"/>
      <c r="F528" s="177"/>
      <c r="G528" s="180">
        <v>0</v>
      </c>
      <c r="H528" s="180"/>
    </row>
    <row r="529" spans="1:8" ht="12.75">
      <c r="A529" s="179" t="s">
        <v>22</v>
      </c>
      <c r="B529" s="179" t="s">
        <v>2036</v>
      </c>
      <c r="C529" s="174"/>
      <c r="D529" s="165" t="s">
        <v>177</v>
      </c>
      <c r="E529" s="177"/>
      <c r="F529" s="177"/>
      <c r="G529" s="180">
        <v>20363953.3</v>
      </c>
      <c r="H529" s="180"/>
    </row>
    <row r="530" spans="1:8" ht="12.75">
      <c r="A530" s="179" t="s">
        <v>22</v>
      </c>
      <c r="B530" s="179" t="s">
        <v>1062</v>
      </c>
      <c r="C530" s="174"/>
      <c r="D530" s="165" t="s">
        <v>178</v>
      </c>
      <c r="E530" s="177"/>
      <c r="F530" s="177"/>
      <c r="G530" s="180">
        <v>281000</v>
      </c>
      <c r="H530" s="180"/>
    </row>
    <row r="531" spans="1:8" ht="12.75">
      <c r="A531" s="179" t="s">
        <v>22</v>
      </c>
      <c r="B531" s="179" t="s">
        <v>1064</v>
      </c>
      <c r="C531" s="174"/>
      <c r="D531" s="165" t="s">
        <v>179</v>
      </c>
      <c r="E531" s="177"/>
      <c r="F531" s="177"/>
      <c r="G531" s="180">
        <v>7386608.96</v>
      </c>
      <c r="H531" s="180"/>
    </row>
    <row r="532" spans="1:8" ht="12.75">
      <c r="A532" s="179" t="s">
        <v>22</v>
      </c>
      <c r="B532" s="179" t="s">
        <v>1066</v>
      </c>
      <c r="C532" s="174"/>
      <c r="D532" s="165" t="s">
        <v>470</v>
      </c>
      <c r="E532" s="177"/>
      <c r="F532" s="177"/>
      <c r="G532" s="180">
        <v>0</v>
      </c>
      <c r="H532" s="180"/>
    </row>
    <row r="533" spans="1:8" ht="12.75">
      <c r="A533" s="179" t="s">
        <v>22</v>
      </c>
      <c r="B533" s="179" t="s">
        <v>778</v>
      </c>
      <c r="C533" s="174"/>
      <c r="D533" s="165" t="s">
        <v>471</v>
      </c>
      <c r="E533" s="177"/>
      <c r="F533" s="177"/>
      <c r="G533" s="180">
        <v>573933.33</v>
      </c>
      <c r="H533" s="180"/>
    </row>
    <row r="534" spans="1:8" ht="12.75">
      <c r="A534" s="179" t="s">
        <v>472</v>
      </c>
      <c r="B534" s="179" t="s">
        <v>1159</v>
      </c>
      <c r="C534" s="173"/>
      <c r="D534" s="165" t="s">
        <v>473</v>
      </c>
      <c r="E534" s="177"/>
      <c r="F534" s="177"/>
      <c r="G534" s="180">
        <v>0</v>
      </c>
      <c r="H534" s="180"/>
    </row>
    <row r="535" spans="1:8" ht="12.75">
      <c r="A535" s="179" t="s">
        <v>474</v>
      </c>
      <c r="B535" s="179" t="s">
        <v>1062</v>
      </c>
      <c r="C535" s="174"/>
      <c r="D535" s="165" t="s">
        <v>475</v>
      </c>
      <c r="E535" s="177"/>
      <c r="F535" s="177"/>
      <c r="G535" s="180">
        <v>340627</v>
      </c>
      <c r="H535" s="180"/>
    </row>
    <row r="536" spans="1:8" ht="12.75">
      <c r="A536" s="179" t="s">
        <v>476</v>
      </c>
      <c r="B536" s="179" t="s">
        <v>1057</v>
      </c>
      <c r="C536" s="174"/>
      <c r="D536" s="165" t="s">
        <v>477</v>
      </c>
      <c r="E536" s="177"/>
      <c r="F536" s="177"/>
      <c r="G536" s="180">
        <v>227705458</v>
      </c>
      <c r="H536" s="180"/>
    </row>
    <row r="537" spans="1:8" ht="12.75">
      <c r="A537" s="179" t="s">
        <v>478</v>
      </c>
      <c r="B537" s="179" t="s">
        <v>1159</v>
      </c>
      <c r="C537" s="174"/>
      <c r="D537" s="165" t="s">
        <v>479</v>
      </c>
      <c r="E537" s="177"/>
      <c r="F537" s="177"/>
      <c r="G537" s="180">
        <v>0</v>
      </c>
      <c r="H537" s="180"/>
    </row>
    <row r="538" spans="1:8" ht="12.75">
      <c r="A538" s="179" t="s">
        <v>480</v>
      </c>
      <c r="B538" s="179" t="s">
        <v>1057</v>
      </c>
      <c r="C538" s="174"/>
      <c r="D538" s="165" t="s">
        <v>481</v>
      </c>
      <c r="E538" s="177"/>
      <c r="F538" s="177"/>
      <c r="G538" s="180">
        <v>20402423</v>
      </c>
      <c r="H538" s="180"/>
    </row>
    <row r="539" spans="1:8" ht="12.75">
      <c r="A539" s="179" t="s">
        <v>482</v>
      </c>
      <c r="B539" s="179" t="s">
        <v>1057</v>
      </c>
      <c r="C539" s="174"/>
      <c r="D539" s="165" t="s">
        <v>483</v>
      </c>
      <c r="E539" s="177"/>
      <c r="F539" s="177"/>
      <c r="G539" s="180">
        <v>625976348</v>
      </c>
      <c r="H539" s="180"/>
    </row>
    <row r="540" spans="1:8" ht="12.75">
      <c r="A540" s="179" t="s">
        <v>484</v>
      </c>
      <c r="B540" s="179" t="s">
        <v>1161</v>
      </c>
      <c r="C540" s="173"/>
      <c r="D540" s="165" t="s">
        <v>485</v>
      </c>
      <c r="E540" s="177"/>
      <c r="F540" s="177"/>
      <c r="G540" s="180">
        <v>16500</v>
      </c>
      <c r="H540" s="180"/>
    </row>
    <row r="541" spans="1:8" ht="12.75">
      <c r="A541" s="179" t="s">
        <v>486</v>
      </c>
      <c r="B541" s="179" t="s">
        <v>1159</v>
      </c>
      <c r="C541" s="174"/>
      <c r="D541" s="165" t="s">
        <v>487</v>
      </c>
      <c r="E541" s="177"/>
      <c r="F541" s="177"/>
      <c r="G541" s="180">
        <v>0</v>
      </c>
      <c r="H541" s="180"/>
    </row>
    <row r="542" spans="1:8" ht="12.75">
      <c r="A542" s="179" t="s">
        <v>486</v>
      </c>
      <c r="B542" s="179" t="s">
        <v>841</v>
      </c>
      <c r="C542" s="174"/>
      <c r="D542" s="165" t="s">
        <v>488</v>
      </c>
      <c r="E542" s="177"/>
      <c r="F542" s="177"/>
      <c r="G542" s="180">
        <v>67823172.04</v>
      </c>
      <c r="H542" s="180"/>
    </row>
    <row r="543" spans="1:8" ht="12.75">
      <c r="A543" s="179" t="s">
        <v>486</v>
      </c>
      <c r="B543" s="179" t="s">
        <v>1064</v>
      </c>
      <c r="C543" s="174"/>
      <c r="D543" s="165" t="s">
        <v>489</v>
      </c>
      <c r="E543" s="177"/>
      <c r="F543" s="177"/>
      <c r="G543" s="180">
        <v>4611375</v>
      </c>
      <c r="H543" s="180"/>
    </row>
    <row r="544" spans="1:8" ht="12.75">
      <c r="A544" s="179" t="s">
        <v>486</v>
      </c>
      <c r="B544" s="179" t="s">
        <v>778</v>
      </c>
      <c r="C544" s="174"/>
      <c r="D544" s="165" t="s">
        <v>490</v>
      </c>
      <c r="E544" s="177"/>
      <c r="F544" s="177"/>
      <c r="G544" s="180">
        <v>1823900</v>
      </c>
      <c r="H544" s="180"/>
    </row>
    <row r="545" spans="1:8" ht="12.75">
      <c r="A545" s="179" t="s">
        <v>491</v>
      </c>
      <c r="B545" s="179" t="s">
        <v>1161</v>
      </c>
      <c r="C545" s="174"/>
      <c r="D545" s="165" t="s">
        <v>492</v>
      </c>
      <c r="E545" s="177"/>
      <c r="F545" s="177"/>
      <c r="G545" s="180">
        <v>381364258</v>
      </c>
      <c r="H545" s="180"/>
    </row>
    <row r="546" spans="1:8" ht="12.75">
      <c r="A546" s="179" t="s">
        <v>493</v>
      </c>
      <c r="B546" s="179" t="s">
        <v>1159</v>
      </c>
      <c r="C546" s="174"/>
      <c r="D546" s="165" t="s">
        <v>56</v>
      </c>
      <c r="E546" s="177"/>
      <c r="F546" s="177"/>
      <c r="G546" s="180">
        <v>4000000</v>
      </c>
      <c r="H546" s="180"/>
    </row>
    <row r="547" spans="1:8" ht="12.75">
      <c r="A547" s="179" t="s">
        <v>57</v>
      </c>
      <c r="B547" s="179" t="s">
        <v>1161</v>
      </c>
      <c r="C547" s="174"/>
      <c r="D547" s="165" t="s">
        <v>707</v>
      </c>
      <c r="E547" s="177"/>
      <c r="F547" s="177"/>
      <c r="G547" s="180">
        <v>64873704</v>
      </c>
      <c r="H547" s="180"/>
    </row>
    <row r="548" spans="1:8" ht="12.75">
      <c r="A548" s="179" t="s">
        <v>708</v>
      </c>
      <c r="B548" s="179" t="s">
        <v>1159</v>
      </c>
      <c r="C548" s="174"/>
      <c r="D548" s="165" t="s">
        <v>709</v>
      </c>
      <c r="E548" s="177"/>
      <c r="F548" s="177"/>
      <c r="G548" s="180">
        <v>83758250</v>
      </c>
      <c r="H548" s="180"/>
    </row>
    <row r="549" spans="1:8" ht="12.75">
      <c r="A549" s="179" t="s">
        <v>708</v>
      </c>
      <c r="B549" s="179" t="s">
        <v>1402</v>
      </c>
      <c r="C549" s="174"/>
      <c r="D549" s="165" t="s">
        <v>710</v>
      </c>
      <c r="E549" s="177"/>
      <c r="F549" s="177"/>
      <c r="G549" s="180">
        <v>0</v>
      </c>
      <c r="H549" s="180"/>
    </row>
    <row r="550" spans="1:8" ht="12.75">
      <c r="A550" s="179" t="s">
        <v>708</v>
      </c>
      <c r="B550" s="179" t="s">
        <v>1057</v>
      </c>
      <c r="C550" s="174"/>
      <c r="D550" s="165" t="s">
        <v>711</v>
      </c>
      <c r="E550" s="177"/>
      <c r="F550" s="177"/>
      <c r="G550" s="180">
        <v>0</v>
      </c>
      <c r="H550" s="180"/>
    </row>
    <row r="551" spans="1:8" ht="12.75">
      <c r="A551" s="179" t="s">
        <v>712</v>
      </c>
      <c r="B551" s="192" t="s">
        <v>1064</v>
      </c>
      <c r="C551" s="174"/>
      <c r="D551" s="188" t="s">
        <v>713</v>
      </c>
      <c r="E551" s="177"/>
      <c r="F551" s="177"/>
      <c r="G551" s="180">
        <v>10505245</v>
      </c>
      <c r="H551" s="180"/>
    </row>
    <row r="552" spans="1:8" ht="12.75">
      <c r="A552" s="179" t="s">
        <v>714</v>
      </c>
      <c r="B552" s="179" t="s">
        <v>1159</v>
      </c>
      <c r="C552" s="174"/>
      <c r="D552" s="165" t="s">
        <v>715</v>
      </c>
      <c r="E552" s="177"/>
      <c r="F552" s="177"/>
      <c r="G552" s="180">
        <v>305369795.76</v>
      </c>
      <c r="H552" s="180"/>
    </row>
    <row r="553" spans="1:8" ht="12.75">
      <c r="A553" s="179" t="s">
        <v>714</v>
      </c>
      <c r="B553" s="179" t="s">
        <v>1064</v>
      </c>
      <c r="C553" s="174"/>
      <c r="D553" s="165" t="s">
        <v>716</v>
      </c>
      <c r="E553" s="177"/>
      <c r="F553" s="177"/>
      <c r="G553" s="180">
        <v>44975000</v>
      </c>
      <c r="H553" s="180"/>
    </row>
    <row r="554" spans="1:8" ht="12.75">
      <c r="A554" s="179" t="s">
        <v>717</v>
      </c>
      <c r="B554" s="179" t="s">
        <v>1159</v>
      </c>
      <c r="C554" s="174"/>
      <c r="D554" s="165" t="s">
        <v>718</v>
      </c>
      <c r="E554" s="177"/>
      <c r="F554" s="177"/>
      <c r="G554" s="180">
        <v>0</v>
      </c>
      <c r="H554" s="180"/>
    </row>
    <row r="555" spans="1:8" ht="12.75">
      <c r="A555" s="179" t="s">
        <v>65</v>
      </c>
      <c r="B555" s="179" t="s">
        <v>1402</v>
      </c>
      <c r="C555" s="173"/>
      <c r="D555" s="165" t="s">
        <v>66</v>
      </c>
      <c r="E555" s="177"/>
      <c r="F555" s="177"/>
      <c r="G555" s="180">
        <v>0</v>
      </c>
      <c r="H555" s="180"/>
    </row>
    <row r="556" spans="1:8" ht="12.75">
      <c r="A556" s="179" t="s">
        <v>67</v>
      </c>
      <c r="B556" s="192" t="s">
        <v>1159</v>
      </c>
      <c r="C556" s="174"/>
      <c r="D556" s="173" t="s">
        <v>68</v>
      </c>
      <c r="E556" s="177"/>
      <c r="F556" s="177"/>
      <c r="G556" s="180">
        <v>101996877</v>
      </c>
      <c r="H556" s="180"/>
    </row>
    <row r="557" spans="1:8" ht="12.75">
      <c r="A557" s="179" t="s">
        <v>69</v>
      </c>
      <c r="B557" s="179" t="s">
        <v>70</v>
      </c>
      <c r="C557" s="174"/>
      <c r="D557" s="165" t="s">
        <v>701</v>
      </c>
      <c r="E557" s="177"/>
      <c r="F557" s="177"/>
      <c r="G557" s="180">
        <v>0</v>
      </c>
      <c r="H557" s="180"/>
    </row>
    <row r="558" spans="1:8" ht="12.75">
      <c r="A558" s="179" t="s">
        <v>702</v>
      </c>
      <c r="B558" s="179" t="s">
        <v>1064</v>
      </c>
      <c r="C558" s="174"/>
      <c r="D558" s="165" t="s">
        <v>703</v>
      </c>
      <c r="E558" s="177"/>
      <c r="F558" s="177"/>
      <c r="G558" s="180">
        <v>31161129</v>
      </c>
      <c r="H558" s="180"/>
    </row>
    <row r="559" spans="1:8" ht="12.75">
      <c r="A559" s="179" t="s">
        <v>704</v>
      </c>
      <c r="B559" s="179" t="s">
        <v>1159</v>
      </c>
      <c r="C559" s="174"/>
      <c r="D559" s="165" t="s">
        <v>589</v>
      </c>
      <c r="E559" s="177"/>
      <c r="F559" s="177"/>
      <c r="G559" s="180">
        <v>1757911814</v>
      </c>
      <c r="H559" s="180"/>
    </row>
    <row r="560" spans="1:8" ht="12.75">
      <c r="A560" s="179" t="s">
        <v>590</v>
      </c>
      <c r="B560" s="179" t="s">
        <v>1159</v>
      </c>
      <c r="C560" s="174"/>
      <c r="D560" s="184" t="s">
        <v>591</v>
      </c>
      <c r="E560" s="177"/>
      <c r="F560" s="177"/>
      <c r="G560" s="180">
        <v>23384547.93</v>
      </c>
      <c r="H560" s="180"/>
    </row>
    <row r="561" spans="1:8" ht="12.75">
      <c r="A561" s="179" t="s">
        <v>590</v>
      </c>
      <c r="B561" s="179" t="s">
        <v>1057</v>
      </c>
      <c r="C561" s="173"/>
      <c r="D561" s="184" t="s">
        <v>592</v>
      </c>
      <c r="E561" s="177"/>
      <c r="F561" s="177"/>
      <c r="G561" s="180">
        <v>220500</v>
      </c>
      <c r="H561" s="180"/>
    </row>
    <row r="562" spans="1:8" ht="12.75">
      <c r="A562" s="179" t="s">
        <v>593</v>
      </c>
      <c r="B562" s="179" t="s">
        <v>1064</v>
      </c>
      <c r="C562" s="174"/>
      <c r="D562" s="184" t="s">
        <v>594</v>
      </c>
      <c r="E562" s="177"/>
      <c r="F562" s="177"/>
      <c r="G562" s="180">
        <v>12720833</v>
      </c>
      <c r="H562" s="180"/>
    </row>
    <row r="563" spans="1:8" ht="12.75">
      <c r="A563" s="179" t="s">
        <v>595</v>
      </c>
      <c r="B563" s="179" t="s">
        <v>1059</v>
      </c>
      <c r="C563" s="174"/>
      <c r="D563" s="165" t="s">
        <v>596</v>
      </c>
      <c r="E563" s="177"/>
      <c r="F563" s="177"/>
      <c r="G563" s="180">
        <v>2177022108.66</v>
      </c>
      <c r="H563" s="180"/>
    </row>
    <row r="564" spans="1:8" ht="12.75">
      <c r="A564" s="179" t="s">
        <v>595</v>
      </c>
      <c r="B564" s="179" t="s">
        <v>2036</v>
      </c>
      <c r="C564" s="174"/>
      <c r="D564" s="165" t="s">
        <v>597</v>
      </c>
      <c r="E564" s="177"/>
      <c r="F564" s="177"/>
      <c r="G564" s="187">
        <v>349739600</v>
      </c>
      <c r="H564" s="180"/>
    </row>
    <row r="565" spans="1:8" ht="12.75">
      <c r="A565" s="179" t="s">
        <v>598</v>
      </c>
      <c r="B565" s="179" t="s">
        <v>1167</v>
      </c>
      <c r="C565" s="174"/>
      <c r="D565" s="165" t="s">
        <v>1235</v>
      </c>
      <c r="E565" s="177"/>
      <c r="F565" s="190"/>
      <c r="G565" s="180">
        <v>0</v>
      </c>
      <c r="H565" s="180"/>
    </row>
    <row r="566" spans="1:8" ht="12.75">
      <c r="A566" s="179" t="s">
        <v>598</v>
      </c>
      <c r="B566" s="179" t="s">
        <v>1161</v>
      </c>
      <c r="C566" s="174"/>
      <c r="D566" s="165" t="s">
        <v>1235</v>
      </c>
      <c r="E566" s="177"/>
      <c r="F566" s="190"/>
      <c r="G566" s="180">
        <v>4105854807</v>
      </c>
      <c r="H566" s="180"/>
    </row>
    <row r="567" spans="1:8" ht="12.75">
      <c r="A567" s="179" t="s">
        <v>1236</v>
      </c>
      <c r="B567" s="179" t="s">
        <v>1167</v>
      </c>
      <c r="C567" s="174"/>
      <c r="D567" s="165" t="s">
        <v>1073</v>
      </c>
      <c r="E567" s="177"/>
      <c r="F567" s="190"/>
      <c r="G567" s="180">
        <v>467949159</v>
      </c>
      <c r="H567" s="180"/>
    </row>
    <row r="568" spans="1:8" ht="12.75">
      <c r="A568" s="179" t="s">
        <v>1238</v>
      </c>
      <c r="B568" s="179" t="s">
        <v>1161</v>
      </c>
      <c r="C568" s="174"/>
      <c r="D568" s="165" t="s">
        <v>1239</v>
      </c>
      <c r="E568" s="177"/>
      <c r="F568" s="191"/>
      <c r="G568" s="180">
        <f>6257118.85+7359629.05+34938489.52</f>
        <v>48555237.42</v>
      </c>
      <c r="H568" s="180">
        <v>36917700</v>
      </c>
    </row>
    <row r="569" spans="1:8" ht="12.75">
      <c r="A569" s="179" t="s">
        <v>1238</v>
      </c>
      <c r="B569" s="179" t="s">
        <v>1167</v>
      </c>
      <c r="C569" s="174"/>
      <c r="D569" s="165" t="s">
        <v>1074</v>
      </c>
      <c r="E569" s="177"/>
      <c r="F569" s="177"/>
      <c r="G569" s="180">
        <v>149913484.24</v>
      </c>
      <c r="H569" s="180"/>
    </row>
    <row r="570" spans="1:8" ht="12.75">
      <c r="A570" s="179" t="s">
        <v>1240</v>
      </c>
      <c r="B570" s="179" t="s">
        <v>1241</v>
      </c>
      <c r="C570" s="174"/>
      <c r="D570" s="165" t="s">
        <v>1242</v>
      </c>
      <c r="E570" s="177"/>
      <c r="F570" s="177"/>
      <c r="G570" s="180">
        <v>1712485</v>
      </c>
      <c r="H570" s="180"/>
    </row>
    <row r="571" spans="1:8" ht="12.75">
      <c r="A571" s="179" t="s">
        <v>1243</v>
      </c>
      <c r="B571" s="179" t="s">
        <v>1159</v>
      </c>
      <c r="C571" s="174"/>
      <c r="D571" s="165" t="s">
        <v>1244</v>
      </c>
      <c r="E571" s="177"/>
      <c r="F571" s="177"/>
      <c r="G571" s="180">
        <v>0</v>
      </c>
      <c r="H571" s="180"/>
    </row>
    <row r="572" spans="1:8" ht="12.75">
      <c r="A572" s="179" t="s">
        <v>1245</v>
      </c>
      <c r="B572" s="179" t="s">
        <v>1159</v>
      </c>
      <c r="C572" s="173"/>
      <c r="D572" s="164" t="s">
        <v>1246</v>
      </c>
      <c r="E572" s="177"/>
      <c r="F572" s="177"/>
      <c r="G572" s="180">
        <v>20670000</v>
      </c>
      <c r="H572" s="180"/>
    </row>
    <row r="573" spans="1:8" ht="12.75">
      <c r="A573" s="179" t="s">
        <v>1075</v>
      </c>
      <c r="B573" s="179" t="s">
        <v>1159</v>
      </c>
      <c r="C573" s="173"/>
      <c r="D573" s="164" t="s">
        <v>1076</v>
      </c>
      <c r="E573" s="177"/>
      <c r="F573" s="177"/>
      <c r="G573" s="180">
        <v>40006006</v>
      </c>
      <c r="H573" s="180"/>
    </row>
    <row r="574" spans="1:8" ht="12.75">
      <c r="A574" s="179" t="s">
        <v>1247</v>
      </c>
      <c r="B574" s="179" t="s">
        <v>1696</v>
      </c>
      <c r="C574" s="173"/>
      <c r="D574" s="165" t="s">
        <v>1248</v>
      </c>
      <c r="E574" s="177"/>
      <c r="F574" s="177"/>
      <c r="G574" s="180">
        <f>62985252.56+236092337.68</f>
        <v>299077590.24</v>
      </c>
      <c r="H574" s="180"/>
    </row>
    <row r="575" spans="1:8" ht="12.75">
      <c r="A575" s="179" t="s">
        <v>1247</v>
      </c>
      <c r="B575" s="179" t="s">
        <v>2036</v>
      </c>
      <c r="C575" s="173"/>
      <c r="D575" s="165" t="s">
        <v>1249</v>
      </c>
      <c r="E575" s="177"/>
      <c r="F575" s="177"/>
      <c r="G575" s="180">
        <v>33131982</v>
      </c>
      <c r="H575" s="180"/>
    </row>
    <row r="576" spans="1:8" ht="12.75">
      <c r="A576" s="179" t="s">
        <v>1247</v>
      </c>
      <c r="B576" s="179" t="s">
        <v>778</v>
      </c>
      <c r="C576" s="174"/>
      <c r="D576" s="165" t="s">
        <v>1250</v>
      </c>
      <c r="E576" s="177"/>
      <c r="F576" s="177"/>
      <c r="G576" s="180">
        <v>62736689.45</v>
      </c>
      <c r="H576" s="180"/>
    </row>
    <row r="577" spans="1:8" ht="12.75">
      <c r="A577" s="179" t="s">
        <v>1251</v>
      </c>
      <c r="B577" s="179" t="s">
        <v>778</v>
      </c>
      <c r="C577" s="174"/>
      <c r="D577" s="165" t="s">
        <v>1252</v>
      </c>
      <c r="E577" s="177"/>
      <c r="F577" s="177"/>
      <c r="G577" s="180">
        <v>7183879</v>
      </c>
      <c r="H577" s="180"/>
    </row>
    <row r="578" spans="1:8" ht="12.75">
      <c r="A578" s="179" t="s">
        <v>1253</v>
      </c>
      <c r="B578" s="179" t="s">
        <v>778</v>
      </c>
      <c r="C578" s="174"/>
      <c r="D578" s="165" t="s">
        <v>1254</v>
      </c>
      <c r="E578" s="177"/>
      <c r="F578" s="177"/>
      <c r="G578" s="180">
        <v>10679</v>
      </c>
      <c r="H578" s="180"/>
    </row>
    <row r="579" spans="1:8" ht="12.75">
      <c r="A579" s="179" t="s">
        <v>1255</v>
      </c>
      <c r="B579" s="179" t="s">
        <v>1167</v>
      </c>
      <c r="C579" s="174"/>
      <c r="D579" s="165" t="s">
        <v>1549</v>
      </c>
      <c r="E579" s="177"/>
      <c r="F579" s="177"/>
      <c r="G579" s="180">
        <v>46140117</v>
      </c>
      <c r="H579" s="180"/>
    </row>
    <row r="580" spans="1:8" ht="12.75">
      <c r="A580" s="179" t="s">
        <v>1550</v>
      </c>
      <c r="B580" s="179" t="s">
        <v>1167</v>
      </c>
      <c r="C580" s="174"/>
      <c r="D580" s="165" t="s">
        <v>1551</v>
      </c>
      <c r="E580" s="177"/>
      <c r="F580" s="177"/>
      <c r="G580" s="180">
        <v>12423408</v>
      </c>
      <c r="H580" s="180"/>
    </row>
    <row r="581" spans="1:8" ht="12.75">
      <c r="A581" s="179" t="s">
        <v>1552</v>
      </c>
      <c r="B581" s="179" t="s">
        <v>1167</v>
      </c>
      <c r="C581" s="174"/>
      <c r="D581" s="165" t="s">
        <v>1553</v>
      </c>
      <c r="E581" s="177"/>
      <c r="F581" s="177"/>
      <c r="G581" s="180">
        <v>99854451</v>
      </c>
      <c r="H581" s="180"/>
    </row>
    <row r="582" spans="1:8" ht="12.75">
      <c r="A582" s="179" t="s">
        <v>1554</v>
      </c>
      <c r="B582" s="179" t="s">
        <v>1159</v>
      </c>
      <c r="C582" s="174"/>
      <c r="D582" s="165" t="s">
        <v>1555</v>
      </c>
      <c r="E582" s="177"/>
      <c r="F582" s="177"/>
      <c r="G582" s="180">
        <v>6772127.07</v>
      </c>
      <c r="H582" s="180"/>
    </row>
    <row r="583" spans="1:8" ht="12.75">
      <c r="A583" s="179" t="s">
        <v>1554</v>
      </c>
      <c r="B583" s="179" t="s">
        <v>70</v>
      </c>
      <c r="C583" s="174"/>
      <c r="D583" s="165" t="s">
        <v>1556</v>
      </c>
      <c r="E583" s="177"/>
      <c r="F583" s="177"/>
      <c r="G583" s="180">
        <v>474500</v>
      </c>
      <c r="H583" s="180"/>
    </row>
    <row r="584" spans="1:8" ht="12.75">
      <c r="A584" s="179" t="s">
        <v>1554</v>
      </c>
      <c r="B584" s="179" t="s">
        <v>1161</v>
      </c>
      <c r="C584" s="174"/>
      <c r="D584" s="165" t="s">
        <v>1557</v>
      </c>
      <c r="E584" s="177"/>
      <c r="F584" s="177"/>
      <c r="G584" s="180">
        <f>1415341.19+650477.29</f>
        <v>2065818.48</v>
      </c>
      <c r="H584" s="180"/>
    </row>
    <row r="585" spans="1:8" ht="12.75">
      <c r="A585" s="179" t="s">
        <v>1554</v>
      </c>
      <c r="B585" s="179" t="s">
        <v>1167</v>
      </c>
      <c r="C585" s="174"/>
      <c r="D585" s="165" t="s">
        <v>1558</v>
      </c>
      <c r="E585" s="177"/>
      <c r="F585" s="177"/>
      <c r="G585" s="180">
        <f>29365877.9+2853718.4</f>
        <v>32219596.299999997</v>
      </c>
      <c r="H585" s="180"/>
    </row>
    <row r="586" spans="1:8" ht="12.75">
      <c r="A586" s="179" t="s">
        <v>1554</v>
      </c>
      <c r="B586" s="179" t="s">
        <v>841</v>
      </c>
      <c r="C586" s="174"/>
      <c r="D586" s="165" t="s">
        <v>1559</v>
      </c>
      <c r="E586" s="177"/>
      <c r="F586" s="177"/>
      <c r="G586" s="180">
        <v>4295502.07</v>
      </c>
      <c r="H586" s="180"/>
    </row>
    <row r="587" spans="1:8" ht="12.75">
      <c r="A587" s="179" t="s">
        <v>1554</v>
      </c>
      <c r="B587" s="179" t="s">
        <v>2041</v>
      </c>
      <c r="C587" s="174"/>
      <c r="D587" s="165" t="s">
        <v>1560</v>
      </c>
      <c r="E587" s="177"/>
      <c r="F587" s="177"/>
      <c r="G587" s="180">
        <v>79820526.57</v>
      </c>
      <c r="H587" s="180"/>
    </row>
    <row r="588" spans="1:8" ht="12.75">
      <c r="A588" s="179" t="s">
        <v>1554</v>
      </c>
      <c r="B588" s="179" t="s">
        <v>1040</v>
      </c>
      <c r="C588" s="174"/>
      <c r="D588" s="165" t="s">
        <v>1561</v>
      </c>
      <c r="E588" s="177"/>
      <c r="F588" s="177"/>
      <c r="G588" s="180">
        <f>98863191.38+5052586.1</f>
        <v>103915777.47999999</v>
      </c>
      <c r="H588" s="180"/>
    </row>
    <row r="589" spans="1:8" ht="12.75">
      <c r="A589" s="179" t="s">
        <v>1554</v>
      </c>
      <c r="B589" s="179" t="s">
        <v>1042</v>
      </c>
      <c r="C589" s="174"/>
      <c r="D589" s="165" t="s">
        <v>1631</v>
      </c>
      <c r="E589" s="177"/>
      <c r="F589" s="177"/>
      <c r="G589" s="180">
        <v>0</v>
      </c>
      <c r="H589" s="180"/>
    </row>
    <row r="590" spans="1:8" ht="12.75">
      <c r="A590" s="179" t="s">
        <v>1554</v>
      </c>
      <c r="B590" s="179" t="s">
        <v>1743</v>
      </c>
      <c r="C590" s="174"/>
      <c r="D590" s="165" t="s">
        <v>1632</v>
      </c>
      <c r="E590" s="177"/>
      <c r="F590" s="193"/>
      <c r="G590" s="180">
        <v>7696415.46</v>
      </c>
      <c r="H590" s="180"/>
    </row>
    <row r="591" spans="1:8" ht="12.75">
      <c r="A591" s="179" t="s">
        <v>1554</v>
      </c>
      <c r="B591" s="179" t="s">
        <v>1045</v>
      </c>
      <c r="C591" s="174"/>
      <c r="D591" s="165" t="s">
        <v>1633</v>
      </c>
      <c r="E591" s="177"/>
      <c r="F591" s="193"/>
      <c r="G591" s="180">
        <v>18772338.21</v>
      </c>
      <c r="H591" s="180"/>
    </row>
    <row r="592" spans="1:8" ht="12.75">
      <c r="A592" s="179" t="s">
        <v>1554</v>
      </c>
      <c r="B592" s="179" t="s">
        <v>2034</v>
      </c>
      <c r="C592" s="174"/>
      <c r="D592" s="165" t="s">
        <v>1634</v>
      </c>
      <c r="E592" s="177"/>
      <c r="F592" s="193"/>
      <c r="G592" s="180">
        <v>110446285.97</v>
      </c>
      <c r="H592" s="180"/>
    </row>
    <row r="593" spans="1:8" ht="12.75">
      <c r="A593" s="179" t="s">
        <v>1554</v>
      </c>
      <c r="B593" s="179" t="s">
        <v>1052</v>
      </c>
      <c r="C593" s="174"/>
      <c r="D593" s="165" t="s">
        <v>1635</v>
      </c>
      <c r="E593" s="177"/>
      <c r="F593" s="193"/>
      <c r="G593" s="180">
        <v>0</v>
      </c>
      <c r="H593" s="180"/>
    </row>
    <row r="594" spans="1:8" ht="12.75">
      <c r="A594" s="179" t="s">
        <v>1554</v>
      </c>
      <c r="B594" s="179" t="s">
        <v>1057</v>
      </c>
      <c r="C594" s="174"/>
      <c r="D594" s="165" t="s">
        <v>1636</v>
      </c>
      <c r="E594" s="177"/>
      <c r="F594" s="193"/>
      <c r="G594" s="180">
        <v>11234103.47</v>
      </c>
      <c r="H594" s="180"/>
    </row>
    <row r="595" spans="1:8" ht="12.75">
      <c r="A595" s="179" t="s">
        <v>1554</v>
      </c>
      <c r="B595" s="179" t="s">
        <v>1059</v>
      </c>
      <c r="C595" s="174"/>
      <c r="D595" s="165" t="s">
        <v>1637</v>
      </c>
      <c r="E595" s="177"/>
      <c r="F595" s="193"/>
      <c r="G595" s="180">
        <v>2562242.51</v>
      </c>
      <c r="H595" s="180"/>
    </row>
    <row r="596" spans="1:8" ht="12.75">
      <c r="A596" s="179" t="s">
        <v>1554</v>
      </c>
      <c r="B596" s="179" t="s">
        <v>2036</v>
      </c>
      <c r="C596" s="174"/>
      <c r="D596" s="165" t="s">
        <v>1638</v>
      </c>
      <c r="E596" s="177"/>
      <c r="F596" s="193"/>
      <c r="G596" s="180">
        <v>1689884.37</v>
      </c>
      <c r="H596" s="180"/>
    </row>
    <row r="597" spans="1:8" ht="12.75">
      <c r="A597" s="179" t="s">
        <v>1554</v>
      </c>
      <c r="B597" s="192" t="s">
        <v>1064</v>
      </c>
      <c r="C597" s="174"/>
      <c r="D597" s="165" t="s">
        <v>1639</v>
      </c>
      <c r="E597" s="177"/>
      <c r="F597" s="177"/>
      <c r="G597" s="180">
        <v>3783944.71</v>
      </c>
      <c r="H597" s="180"/>
    </row>
    <row r="598" spans="1:8" ht="12.75">
      <c r="A598" s="179" t="s">
        <v>1554</v>
      </c>
      <c r="B598" s="192" t="s">
        <v>1066</v>
      </c>
      <c r="C598" s="174"/>
      <c r="D598" s="165" t="s">
        <v>1315</v>
      </c>
      <c r="E598" s="177"/>
      <c r="F598" s="177"/>
      <c r="G598" s="180">
        <f>156304.52+67036.59</f>
        <v>223341.11</v>
      </c>
      <c r="H598" s="180"/>
    </row>
    <row r="599" spans="1:8" ht="12.75">
      <c r="A599" s="179" t="s">
        <v>1316</v>
      </c>
      <c r="B599" s="179" t="s">
        <v>1042</v>
      </c>
      <c r="C599" s="174"/>
      <c r="D599" s="165" t="s">
        <v>1317</v>
      </c>
      <c r="E599" s="177"/>
      <c r="F599" s="177"/>
      <c r="G599" s="180">
        <v>209611291.8</v>
      </c>
      <c r="H599" s="180"/>
    </row>
    <row r="600" spans="1:8" ht="12.75">
      <c r="A600" s="179" t="s">
        <v>1318</v>
      </c>
      <c r="B600" s="179" t="s">
        <v>2023</v>
      </c>
      <c r="C600" s="174"/>
      <c r="D600" s="165" t="s">
        <v>1319</v>
      </c>
      <c r="E600" s="177"/>
      <c r="F600" s="177"/>
      <c r="G600" s="180">
        <v>115327170.69</v>
      </c>
      <c r="H600" s="180"/>
    </row>
    <row r="601" spans="1:8" ht="12.75">
      <c r="A601" s="179" t="s">
        <v>1318</v>
      </c>
      <c r="B601" s="179" t="s">
        <v>2044</v>
      </c>
      <c r="C601" s="174"/>
      <c r="D601" s="165" t="s">
        <v>1320</v>
      </c>
      <c r="E601" s="177"/>
      <c r="F601" s="177"/>
      <c r="G601" s="180">
        <v>279386527.66</v>
      </c>
      <c r="H601" s="180"/>
    </row>
    <row r="602" spans="1:8" ht="12.75">
      <c r="A602" s="179" t="s">
        <v>1318</v>
      </c>
      <c r="B602" s="179" t="s">
        <v>2018</v>
      </c>
      <c r="C602" s="174"/>
      <c r="D602" s="165" t="s">
        <v>1321</v>
      </c>
      <c r="E602" s="190"/>
      <c r="F602" s="177"/>
      <c r="G602" s="180">
        <v>718663610.56</v>
      </c>
      <c r="H602" s="180"/>
    </row>
    <row r="603" spans="1:8" ht="12.75">
      <c r="A603" s="179" t="s">
        <v>1318</v>
      </c>
      <c r="B603" s="179" t="s">
        <v>1696</v>
      </c>
      <c r="C603" s="174"/>
      <c r="D603" s="165" t="s">
        <v>1322</v>
      </c>
      <c r="E603" s="190"/>
      <c r="F603" s="177"/>
      <c r="G603" s="180">
        <f>1915635481.11+1116000+20640250+3680838.37+329511.78</f>
        <v>1941402081.2599998</v>
      </c>
      <c r="H603" s="180"/>
    </row>
    <row r="604" spans="1:8" ht="12.75">
      <c r="A604" s="179" t="s">
        <v>1318</v>
      </c>
      <c r="B604" s="179" t="s">
        <v>2032</v>
      </c>
      <c r="C604" s="174"/>
      <c r="D604" s="165" t="s">
        <v>1323</v>
      </c>
      <c r="E604" s="190"/>
      <c r="F604" s="177"/>
      <c r="G604" s="180">
        <v>272660054.06</v>
      </c>
      <c r="H604" s="180"/>
    </row>
    <row r="605" spans="1:8" ht="12.75">
      <c r="A605" s="179" t="s">
        <v>1589</v>
      </c>
      <c r="B605" s="179" t="s">
        <v>2023</v>
      </c>
      <c r="C605" s="174"/>
      <c r="D605" s="165" t="s">
        <v>1590</v>
      </c>
      <c r="E605" s="190"/>
      <c r="F605" s="177"/>
      <c r="G605" s="180">
        <v>35016212.1</v>
      </c>
      <c r="H605" s="180"/>
    </row>
    <row r="606" spans="1:8" ht="12.75">
      <c r="A606" s="179" t="s">
        <v>1589</v>
      </c>
      <c r="B606" s="179" t="s">
        <v>2044</v>
      </c>
      <c r="C606" s="174"/>
      <c r="D606" s="165" t="s">
        <v>1591</v>
      </c>
      <c r="E606" s="190"/>
      <c r="F606" s="177"/>
      <c r="G606" s="180">
        <v>45008589.77</v>
      </c>
      <c r="H606" s="180"/>
    </row>
    <row r="607" spans="1:8" ht="12.75">
      <c r="A607" s="179" t="s">
        <v>1589</v>
      </c>
      <c r="B607" s="179" t="s">
        <v>2018</v>
      </c>
      <c r="C607" s="174"/>
      <c r="D607" s="165" t="s">
        <v>1592</v>
      </c>
      <c r="E607" s="191"/>
      <c r="F607" s="177"/>
      <c r="G607" s="180">
        <v>143259846.51</v>
      </c>
      <c r="H607" s="180"/>
    </row>
    <row r="608" spans="1:8" ht="12.75">
      <c r="A608" s="179" t="s">
        <v>1589</v>
      </c>
      <c r="B608" s="179" t="s">
        <v>1696</v>
      </c>
      <c r="C608" s="174"/>
      <c r="D608" s="165" t="s">
        <v>1593</v>
      </c>
      <c r="E608" s="177"/>
      <c r="F608" s="177"/>
      <c r="G608" s="180">
        <f>451196323.73+133336.6</f>
        <v>451329660.33000004</v>
      </c>
      <c r="H608" s="180"/>
    </row>
    <row r="609" spans="1:8" ht="12.75">
      <c r="A609" s="179" t="s">
        <v>1589</v>
      </c>
      <c r="B609" s="179" t="s">
        <v>2032</v>
      </c>
      <c r="C609" s="174"/>
      <c r="D609" s="165" t="s">
        <v>1594</v>
      </c>
      <c r="E609" s="177"/>
      <c r="F609" s="177"/>
      <c r="G609" s="187">
        <f>86480995.35+1.31</f>
        <v>86480996.66</v>
      </c>
      <c r="H609" s="180"/>
    </row>
    <row r="610" spans="1:8" ht="12.75">
      <c r="A610" s="179" t="s">
        <v>1595</v>
      </c>
      <c r="B610" s="192" t="s">
        <v>2036</v>
      </c>
      <c r="C610" s="174"/>
      <c r="D610" s="165" t="s">
        <v>891</v>
      </c>
      <c r="E610" s="177"/>
      <c r="F610" s="177"/>
      <c r="G610" s="180">
        <f>32499524.74+6661200</f>
        <v>39160724.739999995</v>
      </c>
      <c r="H610" s="180"/>
    </row>
    <row r="611" spans="1:8" ht="12.75">
      <c r="A611" s="179" t="s">
        <v>1595</v>
      </c>
      <c r="B611" s="192" t="s">
        <v>778</v>
      </c>
      <c r="C611" s="174"/>
      <c r="D611" s="165" t="s">
        <v>892</v>
      </c>
      <c r="E611" s="177"/>
      <c r="F611" s="177"/>
      <c r="G611" s="180">
        <v>92456239.25</v>
      </c>
      <c r="H611" s="180"/>
    </row>
    <row r="612" spans="1:8" ht="12.75">
      <c r="A612" s="179" t="s">
        <v>893</v>
      </c>
      <c r="B612" s="179" t="s">
        <v>1167</v>
      </c>
      <c r="C612" s="174"/>
      <c r="D612" s="165" t="s">
        <v>894</v>
      </c>
      <c r="E612" s="190"/>
      <c r="F612" s="177"/>
      <c r="G612" s="180">
        <v>58464576.5</v>
      </c>
      <c r="H612" s="180"/>
    </row>
    <row r="613" spans="1:8" ht="12.75">
      <c r="A613" s="179" t="s">
        <v>893</v>
      </c>
      <c r="B613" s="179" t="s">
        <v>1696</v>
      </c>
      <c r="C613" s="173"/>
      <c r="D613" s="165" t="s">
        <v>895</v>
      </c>
      <c r="E613" s="189"/>
      <c r="F613" s="177"/>
      <c r="G613" s="180">
        <v>0</v>
      </c>
      <c r="H613" s="180"/>
    </row>
    <row r="614" spans="1:8" ht="12.75">
      <c r="A614" s="179" t="s">
        <v>893</v>
      </c>
      <c r="B614" s="179" t="s">
        <v>1042</v>
      </c>
      <c r="C614" s="173"/>
      <c r="D614" s="165" t="s">
        <v>896</v>
      </c>
      <c r="E614" s="190"/>
      <c r="F614" s="177"/>
      <c r="G614" s="180">
        <v>115027281.68</v>
      </c>
      <c r="H614" s="180"/>
    </row>
    <row r="615" spans="1:8" ht="12.75">
      <c r="A615" s="179" t="s">
        <v>897</v>
      </c>
      <c r="B615" s="179" t="s">
        <v>1161</v>
      </c>
      <c r="C615" s="173"/>
      <c r="D615" s="165" t="s">
        <v>898</v>
      </c>
      <c r="E615" s="190"/>
      <c r="F615" s="177"/>
      <c r="G615" s="180">
        <f>31840255.69+38878973.57-1049247</f>
        <v>69669982.26</v>
      </c>
      <c r="H615" s="180"/>
    </row>
    <row r="616" spans="1:8" ht="12.75">
      <c r="A616" s="179" t="s">
        <v>897</v>
      </c>
      <c r="B616" s="179" t="s">
        <v>1163</v>
      </c>
      <c r="C616" s="173"/>
      <c r="D616" s="165" t="s">
        <v>899</v>
      </c>
      <c r="E616" s="190"/>
      <c r="F616" s="177"/>
      <c r="G616" s="180">
        <f>55575457.23-38878973.57</f>
        <v>16696483.659999996</v>
      </c>
      <c r="H616" s="180"/>
    </row>
    <row r="617" spans="1:8" ht="12.75">
      <c r="A617" s="179" t="s">
        <v>897</v>
      </c>
      <c r="B617" s="179" t="s">
        <v>1165</v>
      </c>
      <c r="C617" s="174"/>
      <c r="D617" s="165" t="s">
        <v>1128</v>
      </c>
      <c r="E617" s="191"/>
      <c r="F617" s="177"/>
      <c r="G617" s="180">
        <v>0</v>
      </c>
      <c r="H617" s="180"/>
    </row>
    <row r="618" spans="1:8" ht="12.75">
      <c r="A618" s="179" t="s">
        <v>1129</v>
      </c>
      <c r="B618" s="179" t="s">
        <v>1165</v>
      </c>
      <c r="C618" s="174"/>
      <c r="D618" s="165" t="s">
        <v>1130</v>
      </c>
      <c r="E618" s="177"/>
      <c r="F618" s="177"/>
      <c r="G618" s="182">
        <v>1474439997</v>
      </c>
      <c r="H618" s="180"/>
    </row>
    <row r="619" spans="1:8" ht="12.75">
      <c r="A619" s="179" t="s">
        <v>1833</v>
      </c>
      <c r="B619" s="179" t="s">
        <v>1165</v>
      </c>
      <c r="C619" s="174"/>
      <c r="D619" s="165" t="s">
        <v>1834</v>
      </c>
      <c r="E619" s="177"/>
      <c r="F619" s="177"/>
      <c r="G619" s="180">
        <v>295305808</v>
      </c>
      <c r="H619" s="180"/>
    </row>
    <row r="620" spans="1:8" ht="12.75">
      <c r="A620" s="179" t="s">
        <v>1835</v>
      </c>
      <c r="B620" s="179" t="s">
        <v>1165</v>
      </c>
      <c r="C620" s="174"/>
      <c r="D620" s="165" t="s">
        <v>1836</v>
      </c>
      <c r="E620" s="177"/>
      <c r="F620" s="177"/>
      <c r="G620" s="180">
        <v>258908097</v>
      </c>
      <c r="H620" s="180"/>
    </row>
    <row r="621" spans="1:8" ht="12.75">
      <c r="A621" s="179" t="s">
        <v>1837</v>
      </c>
      <c r="B621" s="179" t="s">
        <v>1159</v>
      </c>
      <c r="C621" s="174"/>
      <c r="D621" s="165" t="s">
        <v>1838</v>
      </c>
      <c r="E621" s="177"/>
      <c r="F621" s="177"/>
      <c r="G621" s="180">
        <v>5527641</v>
      </c>
      <c r="H621" s="180"/>
    </row>
    <row r="622" spans="1:8" ht="12.75">
      <c r="A622" s="179" t="s">
        <v>1839</v>
      </c>
      <c r="B622" s="179" t="s">
        <v>2041</v>
      </c>
      <c r="C622" s="174"/>
      <c r="D622" s="165" t="s">
        <v>1934</v>
      </c>
      <c r="E622" s="177"/>
      <c r="F622" s="177"/>
      <c r="G622" s="180">
        <v>45526132</v>
      </c>
      <c r="H622" s="180"/>
    </row>
    <row r="623" spans="1:8" ht="12.75">
      <c r="A623" s="179" t="s">
        <v>1935</v>
      </c>
      <c r="B623" s="179" t="s">
        <v>2041</v>
      </c>
      <c r="C623" s="174"/>
      <c r="D623" s="165" t="s">
        <v>1936</v>
      </c>
      <c r="E623" s="177"/>
      <c r="F623" s="177"/>
      <c r="G623" s="182">
        <f>2131773617+2299240449</f>
        <v>4431014066</v>
      </c>
      <c r="H623" s="180"/>
    </row>
    <row r="624" spans="1:8" ht="12.75">
      <c r="A624" s="179" t="s">
        <v>1939</v>
      </c>
      <c r="B624" s="179" t="s">
        <v>70</v>
      </c>
      <c r="C624" s="174"/>
      <c r="D624" s="165" t="s">
        <v>1940</v>
      </c>
      <c r="E624" s="177"/>
      <c r="F624" s="177"/>
      <c r="G624" s="180">
        <f>274130724+53201</f>
        <v>274183925</v>
      </c>
      <c r="H624" s="180"/>
    </row>
    <row r="625" spans="1:8" ht="12.75">
      <c r="A625" s="179" t="s">
        <v>1941</v>
      </c>
      <c r="B625" s="179" t="s">
        <v>778</v>
      </c>
      <c r="C625" s="174"/>
      <c r="D625" s="165" t="s">
        <v>1942</v>
      </c>
      <c r="E625" s="177"/>
      <c r="F625" s="177"/>
      <c r="G625" s="180">
        <v>127587516</v>
      </c>
      <c r="H625" s="180"/>
    </row>
    <row r="626" spans="1:8" ht="12.75">
      <c r="A626" s="179" t="s">
        <v>1943</v>
      </c>
      <c r="B626" s="179" t="s">
        <v>70</v>
      </c>
      <c r="C626" s="174"/>
      <c r="D626" s="165" t="s">
        <v>1944</v>
      </c>
      <c r="E626" s="177"/>
      <c r="F626" s="177"/>
      <c r="G626" s="180">
        <v>132212273</v>
      </c>
      <c r="H626" s="180"/>
    </row>
    <row r="627" spans="1:8" ht="12.75">
      <c r="A627" s="179" t="s">
        <v>1945</v>
      </c>
      <c r="B627" s="179" t="s">
        <v>70</v>
      </c>
      <c r="C627" s="174"/>
      <c r="D627" s="165" t="s">
        <v>1946</v>
      </c>
      <c r="E627" s="177"/>
      <c r="F627" s="177"/>
      <c r="G627" s="180">
        <v>52074177</v>
      </c>
      <c r="H627" s="180"/>
    </row>
    <row r="628" spans="1:8" ht="12.75">
      <c r="A628" s="179" t="s">
        <v>1947</v>
      </c>
      <c r="B628" s="179" t="s">
        <v>1167</v>
      </c>
      <c r="C628" s="174"/>
      <c r="D628" s="165" t="s">
        <v>1948</v>
      </c>
      <c r="E628" s="177"/>
      <c r="F628" s="177"/>
      <c r="G628" s="180">
        <v>0</v>
      </c>
      <c r="H628" s="180"/>
    </row>
    <row r="629" spans="1:8" ht="12.75">
      <c r="A629" s="179" t="s">
        <v>1949</v>
      </c>
      <c r="B629" s="179" t="s">
        <v>1167</v>
      </c>
      <c r="C629" s="174"/>
      <c r="D629" s="165" t="s">
        <v>1950</v>
      </c>
      <c r="E629" s="177"/>
      <c r="F629" s="177"/>
      <c r="G629" s="180">
        <v>0</v>
      </c>
      <c r="H629" s="180"/>
    </row>
    <row r="630" spans="7:8" ht="12.75">
      <c r="G630" s="180"/>
      <c r="H630" s="180"/>
    </row>
    <row r="631" spans="1:8" ht="12.75">
      <c r="A631" s="179" t="s">
        <v>1951</v>
      </c>
      <c r="B631" s="179" t="s">
        <v>1161</v>
      </c>
      <c r="C631" s="174"/>
      <c r="D631" s="165" t="s">
        <v>1952</v>
      </c>
      <c r="E631" s="177"/>
      <c r="F631" s="177"/>
      <c r="G631" s="180">
        <v>9661782846</v>
      </c>
      <c r="H631" s="180"/>
    </row>
    <row r="632" spans="1:8" ht="12.75">
      <c r="A632" s="179" t="s">
        <v>1953</v>
      </c>
      <c r="B632" s="179" t="s">
        <v>1161</v>
      </c>
      <c r="C632" s="174"/>
      <c r="D632" s="165" t="s">
        <v>1954</v>
      </c>
      <c r="E632" s="177"/>
      <c r="F632" s="177"/>
      <c r="G632" s="180">
        <v>0</v>
      </c>
      <c r="H632" s="180"/>
    </row>
    <row r="633" spans="1:8" ht="12.75">
      <c r="A633" s="179" t="s">
        <v>1955</v>
      </c>
      <c r="B633" s="179" t="s">
        <v>1161</v>
      </c>
      <c r="C633" s="174"/>
      <c r="D633" s="165" t="s">
        <v>1956</v>
      </c>
      <c r="E633" s="177"/>
      <c r="F633" s="177"/>
      <c r="G633" s="180">
        <v>263577082</v>
      </c>
      <c r="H633" s="180"/>
    </row>
    <row r="634" spans="1:8" ht="12.75">
      <c r="A634" s="179" t="s">
        <v>1957</v>
      </c>
      <c r="B634" s="179" t="s">
        <v>1064</v>
      </c>
      <c r="C634" s="174"/>
      <c r="D634" s="165" t="s">
        <v>1958</v>
      </c>
      <c r="E634" s="177"/>
      <c r="F634" s="177"/>
      <c r="G634" s="180">
        <v>19842076</v>
      </c>
      <c r="H634" s="180"/>
    </row>
    <row r="635" spans="1:8" ht="12.75">
      <c r="A635" s="179" t="s">
        <v>1959</v>
      </c>
      <c r="B635" s="179"/>
      <c r="C635" s="174"/>
      <c r="D635" s="165" t="s">
        <v>1697</v>
      </c>
      <c r="E635" s="177"/>
      <c r="F635" s="177"/>
      <c r="G635" s="180"/>
      <c r="H635" s="194">
        <v>0</v>
      </c>
    </row>
    <row r="636" spans="1:8" ht="12.75">
      <c r="A636" s="179" t="s">
        <v>1077</v>
      </c>
      <c r="B636" s="195" t="s">
        <v>1161</v>
      </c>
      <c r="C636" s="174"/>
      <c r="D636" s="165" t="s">
        <v>1697</v>
      </c>
      <c r="E636" s="177"/>
      <c r="F636" s="177"/>
      <c r="G636" s="194"/>
      <c r="H636" s="196">
        <v>0</v>
      </c>
    </row>
    <row r="637" spans="1:8" ht="12.75">
      <c r="A637" s="197"/>
      <c r="B637" s="197"/>
      <c r="C637" s="174"/>
      <c r="D637" s="197"/>
      <c r="E637" s="177"/>
      <c r="F637" s="177"/>
      <c r="G637" s="198"/>
      <c r="H637" s="199"/>
    </row>
    <row r="638" spans="1:8" ht="12.75">
      <c r="A638" s="173"/>
      <c r="B638" s="173"/>
      <c r="C638" s="174"/>
      <c r="D638" s="165"/>
      <c r="E638" s="177"/>
      <c r="F638" s="177"/>
      <c r="G638" s="200"/>
      <c r="H638" s="191"/>
    </row>
    <row r="639" spans="1:8" ht="21">
      <c r="A639" s="201" t="s">
        <v>1207</v>
      </c>
      <c r="B639" s="201"/>
      <c r="C639" s="201"/>
      <c r="D639" s="202"/>
      <c r="E639" s="203"/>
      <c r="F639" s="203"/>
      <c r="G639" s="204">
        <f>SUM(G8:G638)</f>
        <v>151173220363.21014</v>
      </c>
      <c r="H639" s="204">
        <f>SUM(H8:H638)</f>
        <v>151173220362.69</v>
      </c>
    </row>
    <row r="640" spans="1:8" ht="12.75">
      <c r="A640" s="173"/>
      <c r="B640" s="173"/>
      <c r="C640" s="174"/>
      <c r="D640" s="175" t="s">
        <v>1698</v>
      </c>
      <c r="E640" s="181"/>
      <c r="F640" s="181"/>
      <c r="G640" s="205">
        <f>G639-H639</f>
        <v>0.5201416015625</v>
      </c>
      <c r="H640" s="206"/>
    </row>
    <row r="641" spans="1:8" ht="12.75">
      <c r="A641" s="207"/>
      <c r="B641" s="207"/>
      <c r="C641" s="208"/>
      <c r="D641" s="209"/>
      <c r="E641" s="178"/>
      <c r="F641" s="178"/>
      <c r="G641" s="210"/>
      <c r="H641" s="210"/>
    </row>
    <row r="642" spans="1:8" ht="12.75">
      <c r="A642" s="211"/>
      <c r="B642" s="211"/>
      <c r="C642" s="211"/>
      <c r="D642" s="211"/>
      <c r="E642" s="211"/>
      <c r="F642" s="211"/>
      <c r="G642" s="212"/>
      <c r="H642" s="212"/>
    </row>
    <row r="643" spans="1:8" ht="20.25">
      <c r="A643" s="213" t="s">
        <v>1111</v>
      </c>
      <c r="B643" s="211"/>
      <c r="C643" s="211"/>
      <c r="D643" s="211"/>
      <c r="E643" s="211"/>
      <c r="F643" s="211"/>
      <c r="G643" s="212"/>
      <c r="H643" s="212"/>
    </row>
    <row r="644" spans="1:8" ht="12.75">
      <c r="A644" s="211"/>
      <c r="B644" s="211"/>
      <c r="C644" s="211"/>
      <c r="D644" s="211"/>
      <c r="E644" s="211"/>
      <c r="F644" s="211"/>
      <c r="G644" s="212"/>
      <c r="H644" s="212"/>
    </row>
    <row r="645" spans="1:8" ht="12.75">
      <c r="A645" s="211"/>
      <c r="B645" s="211"/>
      <c r="C645" s="211"/>
      <c r="D645" s="211"/>
      <c r="E645" s="211"/>
      <c r="F645" s="211"/>
      <c r="G645" s="212"/>
      <c r="H645" s="212"/>
    </row>
    <row r="646" spans="1:8" ht="18">
      <c r="A646" s="214" t="s">
        <v>1078</v>
      </c>
      <c r="B646" s="211"/>
      <c r="C646" s="211"/>
      <c r="D646" s="211"/>
      <c r="E646" s="211"/>
      <c r="F646" s="211"/>
      <c r="G646" s="212"/>
      <c r="H646" s="212"/>
    </row>
    <row r="647" spans="1:8" ht="12.75">
      <c r="A647" s="211"/>
      <c r="B647" s="211"/>
      <c r="C647" s="211"/>
      <c r="D647" s="211"/>
      <c r="E647" s="211"/>
      <c r="F647" s="211"/>
      <c r="G647" s="215" t="s">
        <v>1079</v>
      </c>
      <c r="H647" s="215" t="s">
        <v>1613</v>
      </c>
    </row>
    <row r="648" spans="1:8" ht="12.75">
      <c r="A648" s="211"/>
      <c r="B648" s="211"/>
      <c r="C648" s="211" t="s">
        <v>1673</v>
      </c>
      <c r="D648" s="211"/>
      <c r="E648" s="211"/>
      <c r="F648" s="211"/>
      <c r="G648" s="215" t="s">
        <v>1113</v>
      </c>
      <c r="H648" s="215" t="s">
        <v>1113</v>
      </c>
    </row>
    <row r="649" spans="1:8" ht="12.75">
      <c r="A649" s="211"/>
      <c r="B649" s="211"/>
      <c r="C649" s="211"/>
      <c r="D649" s="211" t="s">
        <v>1114</v>
      </c>
      <c r="E649" s="211"/>
      <c r="F649" s="211"/>
      <c r="G649" s="215"/>
      <c r="H649" s="215"/>
    </row>
    <row r="650" spans="1:8" ht="12.75">
      <c r="A650" s="211"/>
      <c r="B650" s="211"/>
      <c r="C650" s="211"/>
      <c r="D650" s="211"/>
      <c r="E650" s="211"/>
      <c r="F650" s="211"/>
      <c r="G650" s="215"/>
      <c r="H650" s="215"/>
    </row>
    <row r="651" spans="1:8" ht="12.75">
      <c r="A651" s="211"/>
      <c r="B651" s="211"/>
      <c r="C651" s="216">
        <v>101210</v>
      </c>
      <c r="D651" s="216" t="s">
        <v>1674</v>
      </c>
      <c r="E651" s="216"/>
      <c r="F651" s="216"/>
      <c r="G651" s="217">
        <f>G2127*0.001</f>
        <v>186507.768</v>
      </c>
      <c r="H651" s="217">
        <f>H2127*0.001</f>
        <v>175071.56900000002</v>
      </c>
    </row>
    <row r="652" spans="1:8" ht="12.75">
      <c r="A652" s="211"/>
      <c r="B652" s="211"/>
      <c r="C652" s="216">
        <v>101230</v>
      </c>
      <c r="D652" s="216" t="s">
        <v>1675</v>
      </c>
      <c r="E652" s="216"/>
      <c r="F652" s="216"/>
      <c r="G652" s="217">
        <f>G2128*0.001</f>
        <v>-158099.269</v>
      </c>
      <c r="H652" s="217">
        <f>H2128*0.001</f>
        <v>-106025.092</v>
      </c>
    </row>
    <row r="653" spans="1:8" ht="12.75">
      <c r="A653" s="211"/>
      <c r="B653" s="211"/>
      <c r="C653" s="218">
        <v>101300</v>
      </c>
      <c r="D653" s="218" t="s">
        <v>1676</v>
      </c>
      <c r="E653" s="218"/>
      <c r="F653" s="218"/>
      <c r="G653" s="219">
        <f>SUM(G651:G652)</f>
        <v>28408.49900000001</v>
      </c>
      <c r="H653" s="219">
        <f>SUM(H651:H652)</f>
        <v>69046.47700000001</v>
      </c>
    </row>
    <row r="654" spans="1:8" ht="12.75">
      <c r="A654" s="211"/>
      <c r="B654" s="211"/>
      <c r="C654" s="211">
        <v>102000</v>
      </c>
      <c r="D654" s="211" t="s">
        <v>1771</v>
      </c>
      <c r="E654" s="211"/>
      <c r="F654" s="211"/>
      <c r="G654" s="215">
        <f>G653</f>
        <v>28408.49900000001</v>
      </c>
      <c r="H654" s="215">
        <f>H653</f>
        <v>69046.47700000001</v>
      </c>
    </row>
    <row r="655" spans="1:8" ht="12.75">
      <c r="A655" s="211"/>
      <c r="B655" s="211"/>
      <c r="C655" s="211"/>
      <c r="D655" s="211"/>
      <c r="E655" s="211"/>
      <c r="F655" s="211"/>
      <c r="G655" s="215"/>
      <c r="H655" s="215"/>
    </row>
    <row r="656" spans="3:8" ht="12.75">
      <c r="C656" s="220">
        <v>103110</v>
      </c>
      <c r="D656" s="164" t="s">
        <v>1772</v>
      </c>
      <c r="G656" s="194">
        <f>G2137*0.001</f>
        <v>1426702.272</v>
      </c>
      <c r="H656" s="194">
        <f>H2137*0.001</f>
        <v>1373578.606</v>
      </c>
    </row>
    <row r="657" spans="3:8" ht="12.75">
      <c r="C657" s="220">
        <v>103130</v>
      </c>
      <c r="D657" s="164" t="s">
        <v>1773</v>
      </c>
      <c r="G657" s="194">
        <f>-G2142*0.001</f>
        <v>-427745.256</v>
      </c>
      <c r="H657" s="194">
        <f>-H2142*0.001</f>
        <v>-376289.643</v>
      </c>
    </row>
    <row r="658" spans="3:8" ht="12.75">
      <c r="C658" s="221">
        <v>103200</v>
      </c>
      <c r="D658" s="222" t="s">
        <v>655</v>
      </c>
      <c r="E658" s="222"/>
      <c r="F658" s="222"/>
      <c r="G658" s="223">
        <f>SUM(G656:G657)</f>
        <v>998957.0160000001</v>
      </c>
      <c r="H658" s="223">
        <f>SUM(H656:H657)</f>
        <v>997288.963</v>
      </c>
    </row>
    <row r="659" spans="3:8" ht="12.75">
      <c r="C659" s="220"/>
      <c r="G659" s="194"/>
      <c r="H659" s="194"/>
    </row>
    <row r="660" spans="3:8" ht="12.75">
      <c r="C660" s="220">
        <v>103310</v>
      </c>
      <c r="D660" s="164" t="s">
        <v>656</v>
      </c>
      <c r="G660" s="194">
        <f>G2149*0.001</f>
        <v>31572664.656</v>
      </c>
      <c r="H660" s="194">
        <f>H2149*0.001</f>
        <v>30245345.98</v>
      </c>
    </row>
    <row r="661" spans="3:8" ht="12.75">
      <c r="C661" s="220">
        <v>103330</v>
      </c>
      <c r="D661" s="164" t="s">
        <v>657</v>
      </c>
      <c r="G661" s="194">
        <f>-G2154*0.001</f>
        <v>-11182120.418</v>
      </c>
      <c r="H661" s="194">
        <f>-H2154*0.001</f>
        <v>-6750999.933</v>
      </c>
    </row>
    <row r="662" spans="3:8" ht="12.75">
      <c r="C662" s="221">
        <v>103400</v>
      </c>
      <c r="D662" s="222" t="s">
        <v>658</v>
      </c>
      <c r="E662" s="222"/>
      <c r="F662" s="222"/>
      <c r="G662" s="223">
        <f>SUM(G660:G661)</f>
        <v>20390544.237999998</v>
      </c>
      <c r="H662" s="223">
        <f>SUM(H660:H661)</f>
        <v>23494346.047</v>
      </c>
    </row>
    <row r="663" spans="3:8" ht="12.75">
      <c r="C663" s="220"/>
      <c r="G663" s="194"/>
      <c r="H663" s="194"/>
    </row>
    <row r="664" spans="3:8" ht="12.75">
      <c r="C664" s="220">
        <v>103510</v>
      </c>
      <c r="D664" s="164" t="s">
        <v>659</v>
      </c>
      <c r="G664" s="194">
        <f>G2163*0.001</f>
        <v>4314182.144</v>
      </c>
      <c r="H664" s="194">
        <f>H2163*0.001</f>
        <v>3782314.756</v>
      </c>
    </row>
    <row r="665" spans="3:8" ht="12.75">
      <c r="C665" s="220">
        <v>103530</v>
      </c>
      <c r="D665" s="164" t="s">
        <v>660</v>
      </c>
      <c r="G665" s="194">
        <f>-G2170*0.001</f>
        <v>-3272613.466</v>
      </c>
      <c r="H665" s="194">
        <f>-H2170*0.001</f>
        <v>-2794528.072</v>
      </c>
    </row>
    <row r="666" spans="3:8" ht="12.75">
      <c r="C666" s="221">
        <v>103600</v>
      </c>
      <c r="D666" s="222" t="s">
        <v>661</v>
      </c>
      <c r="E666" s="222"/>
      <c r="F666" s="222"/>
      <c r="G666" s="223">
        <f>SUM(G664:G665)</f>
        <v>1041568.6780000003</v>
      </c>
      <c r="H666" s="223">
        <f>SUM(H664:H665)</f>
        <v>987786.6839999999</v>
      </c>
    </row>
    <row r="667" spans="3:8" ht="12.75">
      <c r="C667" s="220"/>
      <c r="G667" s="194"/>
      <c r="H667" s="194"/>
    </row>
    <row r="668" spans="3:8" ht="12.75">
      <c r="C668" s="220">
        <v>103800</v>
      </c>
      <c r="D668" s="164" t="s">
        <v>662</v>
      </c>
      <c r="G668" s="194">
        <f>G2176*0.001</f>
        <v>4657729.712</v>
      </c>
      <c r="H668" s="194">
        <f>H2176*0.001</f>
        <v>1440867.6570000001</v>
      </c>
    </row>
    <row r="669" spans="3:8" ht="12.75">
      <c r="C669" s="220"/>
      <c r="G669" s="194"/>
      <c r="H669" s="194"/>
    </row>
    <row r="670" spans="3:8" ht="12.75">
      <c r="C670" s="224">
        <v>104000</v>
      </c>
      <c r="D670" s="225" t="s">
        <v>663</v>
      </c>
      <c r="E670" s="225"/>
      <c r="F670" s="225"/>
      <c r="G670" s="226">
        <f>G658+G662+G666+G668</f>
        <v>27088799.643999998</v>
      </c>
      <c r="H670" s="226">
        <f>H658+H662+H666+H668</f>
        <v>26920289.351</v>
      </c>
    </row>
    <row r="671" spans="3:8" ht="12.75">
      <c r="C671" s="220"/>
      <c r="G671" s="194"/>
      <c r="H671" s="194"/>
    </row>
    <row r="672" spans="3:8" ht="12.75">
      <c r="C672" s="221">
        <v>109900</v>
      </c>
      <c r="D672" s="222" t="s">
        <v>664</v>
      </c>
      <c r="E672" s="222"/>
      <c r="F672" s="222"/>
      <c r="G672" s="223">
        <f>SUM(G670:G671)</f>
        <v>27088799.643999998</v>
      </c>
      <c r="H672" s="223">
        <f>SUM(H670:H671)</f>
        <v>26920289.351</v>
      </c>
    </row>
    <row r="673" spans="3:8" ht="12.75">
      <c r="C673" s="220"/>
      <c r="G673" s="194"/>
      <c r="H673" s="194"/>
    </row>
    <row r="674" spans="3:8" ht="12.75">
      <c r="C674" s="220">
        <v>133200</v>
      </c>
      <c r="D674" s="164" t="s">
        <v>665</v>
      </c>
      <c r="G674" s="194">
        <f>G2182*0.001</f>
        <v>0</v>
      </c>
      <c r="H674" s="194">
        <f>H2182*0.001</f>
        <v>34900</v>
      </c>
    </row>
    <row r="675" spans="3:8" ht="12.75">
      <c r="C675" s="220"/>
      <c r="G675" s="194"/>
      <c r="H675" s="194"/>
    </row>
    <row r="676" spans="3:8" ht="12.75">
      <c r="C676" s="221">
        <v>139900</v>
      </c>
      <c r="D676" s="222" t="s">
        <v>666</v>
      </c>
      <c r="E676" s="222"/>
      <c r="F676" s="222"/>
      <c r="G676" s="223">
        <f>SUM(G674:G675)</f>
        <v>0</v>
      </c>
      <c r="H676" s="223">
        <f>SUM(H674:H675)</f>
        <v>34900</v>
      </c>
    </row>
    <row r="677" spans="3:8" ht="12.75">
      <c r="C677" s="220"/>
      <c r="G677" s="194"/>
      <c r="H677" s="194"/>
    </row>
    <row r="678" spans="3:8" ht="12.75">
      <c r="C678" s="224">
        <v>140000</v>
      </c>
      <c r="D678" s="225" t="s">
        <v>1115</v>
      </c>
      <c r="E678" s="225"/>
      <c r="F678" s="225"/>
      <c r="G678" s="226">
        <f>G654+G672+G676</f>
        <v>27117208.143</v>
      </c>
      <c r="H678" s="226">
        <f>H654+H672+H676</f>
        <v>27024235.828</v>
      </c>
    </row>
    <row r="679" spans="3:8" ht="12.75">
      <c r="C679" s="220"/>
      <c r="G679" s="194"/>
      <c r="H679" s="194"/>
    </row>
    <row r="680" spans="3:8" ht="12.75">
      <c r="C680" s="220">
        <v>142000</v>
      </c>
      <c r="D680" s="164" t="s">
        <v>1116</v>
      </c>
      <c r="G680" s="194">
        <f>G2203*0.001</f>
        <v>10908968.09456</v>
      </c>
      <c r="H680" s="194">
        <f>H2203*0.001</f>
        <v>9617689.271</v>
      </c>
    </row>
    <row r="681" spans="3:8" ht="12.75">
      <c r="C681" s="220">
        <v>144000</v>
      </c>
      <c r="D681" s="164" t="s">
        <v>1117</v>
      </c>
      <c r="G681" s="194">
        <f>G2214*0.001</f>
        <v>1673499.632</v>
      </c>
      <c r="H681" s="194">
        <f>H2214*0.001</f>
        <v>1343233.352</v>
      </c>
    </row>
    <row r="682" spans="3:8" ht="12.75">
      <c r="C682" s="220">
        <v>146000</v>
      </c>
      <c r="D682" s="164" t="s">
        <v>419</v>
      </c>
      <c r="G682" s="194">
        <f>G2221*0.001</f>
        <v>594791.606</v>
      </c>
      <c r="H682" s="194">
        <f>H2221*0.001</f>
        <v>140067.592</v>
      </c>
    </row>
    <row r="683" spans="3:8" ht="12.75">
      <c r="C683" s="224">
        <v>149900</v>
      </c>
      <c r="D683" s="225" t="s">
        <v>667</v>
      </c>
      <c r="E683" s="225"/>
      <c r="F683" s="225"/>
      <c r="G683" s="226">
        <f>SUM(G680:G682)</f>
        <v>13177259.33256</v>
      </c>
      <c r="H683" s="226">
        <f>SUM(H680:H682)</f>
        <v>11100990.215</v>
      </c>
    </row>
    <row r="684" spans="3:8" ht="12.75">
      <c r="C684" s="220"/>
      <c r="G684" s="194"/>
      <c r="H684" s="194"/>
    </row>
    <row r="685" spans="3:8" ht="12.75">
      <c r="C685" s="220">
        <v>151200</v>
      </c>
      <c r="D685" s="164" t="s">
        <v>420</v>
      </c>
      <c r="G685" s="194">
        <f>G2227*0.001</f>
        <v>2923143.12463</v>
      </c>
      <c r="H685" s="194">
        <f>H2227*0.001</f>
        <v>2457358.5100000002</v>
      </c>
    </row>
    <row r="686" spans="3:8" ht="12.75">
      <c r="C686" s="220">
        <v>151600</v>
      </c>
      <c r="D686" s="164" t="s">
        <v>421</v>
      </c>
      <c r="G686" s="194">
        <f>G2231*0.001</f>
        <v>-412213.299</v>
      </c>
      <c r="H686" s="194">
        <f>H2231*0.001</f>
        <v>-430434.779</v>
      </c>
    </row>
    <row r="687" spans="3:8" ht="12.75">
      <c r="C687" s="221">
        <v>152000</v>
      </c>
      <c r="D687" s="222" t="s">
        <v>668</v>
      </c>
      <c r="E687" s="222"/>
      <c r="F687" s="222"/>
      <c r="G687" s="223">
        <f>SUM(G685:G686)</f>
        <v>2510929.82563</v>
      </c>
      <c r="H687" s="223">
        <f>SUM(H685:H686)</f>
        <v>2026923.7310000001</v>
      </c>
    </row>
    <row r="688" spans="3:8" ht="12.75">
      <c r="C688" s="220"/>
      <c r="G688" s="194"/>
      <c r="H688" s="194"/>
    </row>
    <row r="689" spans="3:8" ht="12.75">
      <c r="C689" s="220">
        <v>153200</v>
      </c>
      <c r="D689" s="164" t="s">
        <v>669</v>
      </c>
      <c r="G689" s="194">
        <f>G2275*0.001</f>
        <v>14630971.876480002</v>
      </c>
      <c r="H689" s="194">
        <f>H2275*0.001</f>
        <v>1636070.328</v>
      </c>
    </row>
    <row r="690" spans="3:8" ht="12.75">
      <c r="C690" s="221">
        <v>154000</v>
      </c>
      <c r="D690" s="222" t="s">
        <v>180</v>
      </c>
      <c r="E690" s="222"/>
      <c r="F690" s="222"/>
      <c r="G690" s="223">
        <f>SUM(G689)</f>
        <v>14630971.876480002</v>
      </c>
      <c r="H690" s="223">
        <f>SUM(H689)</f>
        <v>1636070.328</v>
      </c>
    </row>
    <row r="691" spans="3:8" ht="12.75">
      <c r="C691" s="220"/>
      <c r="G691" s="194"/>
      <c r="H691" s="194"/>
    </row>
    <row r="692" spans="3:8" ht="12.75">
      <c r="C692" s="224">
        <v>159900</v>
      </c>
      <c r="D692" s="225" t="s">
        <v>181</v>
      </c>
      <c r="E692" s="225"/>
      <c r="F692" s="225"/>
      <c r="G692" s="226">
        <f>G687+G690</f>
        <v>17141901.70211</v>
      </c>
      <c r="H692" s="226">
        <f>H687+H690</f>
        <v>3662994.0590000004</v>
      </c>
    </row>
    <row r="693" spans="3:8" ht="12.75">
      <c r="C693" s="220"/>
      <c r="G693" s="194"/>
      <c r="H693" s="194"/>
    </row>
    <row r="694" spans="3:8" ht="12.75">
      <c r="C694" s="220">
        <v>174000</v>
      </c>
      <c r="D694" s="164" t="s">
        <v>182</v>
      </c>
      <c r="G694" s="194">
        <f>G2293*0.001</f>
        <v>8149852.282000001</v>
      </c>
      <c r="H694" s="194">
        <f>H2293*0.001</f>
        <v>10239221.71</v>
      </c>
    </row>
    <row r="695" spans="3:8" ht="12.75">
      <c r="C695" s="224">
        <v>179900</v>
      </c>
      <c r="D695" s="225" t="s">
        <v>183</v>
      </c>
      <c r="E695" s="225"/>
      <c r="F695" s="225"/>
      <c r="G695" s="226">
        <f>SUM(G694)</f>
        <v>8149852.282000001</v>
      </c>
      <c r="H695" s="226">
        <f>SUM(H694)</f>
        <v>10239221.71</v>
      </c>
    </row>
    <row r="696" spans="3:8" ht="12.75">
      <c r="C696" s="220"/>
      <c r="G696" s="194"/>
      <c r="H696" s="194"/>
    </row>
    <row r="697" spans="3:8" ht="12.75">
      <c r="C697" s="224">
        <v>190000</v>
      </c>
      <c r="D697" s="225" t="s">
        <v>422</v>
      </c>
      <c r="E697" s="225"/>
      <c r="F697" s="225"/>
      <c r="G697" s="226">
        <f>G683+G692+G695</f>
        <v>38469013.31667</v>
      </c>
      <c r="H697" s="226">
        <f>H683+H692+H695</f>
        <v>25003205.984</v>
      </c>
    </row>
    <row r="698" spans="3:8" ht="12.75">
      <c r="C698" s="220"/>
      <c r="G698" s="194"/>
      <c r="H698" s="194"/>
    </row>
    <row r="699" spans="3:8" ht="12.75">
      <c r="C699" s="224">
        <v>190900</v>
      </c>
      <c r="D699" s="225" t="s">
        <v>184</v>
      </c>
      <c r="E699" s="225"/>
      <c r="F699" s="225"/>
      <c r="G699" s="226">
        <f>G678+G697</f>
        <v>65586221.45967</v>
      </c>
      <c r="H699" s="226">
        <f>H678+H697</f>
        <v>52027441.81200001</v>
      </c>
    </row>
    <row r="700" spans="3:8" ht="12.75">
      <c r="C700" s="220"/>
      <c r="G700" s="194"/>
      <c r="H700" s="194"/>
    </row>
    <row r="701" spans="3:8" ht="12.75">
      <c r="C701" s="220"/>
      <c r="G701" s="194"/>
      <c r="H701" s="194"/>
    </row>
    <row r="702" spans="3:8" ht="12.75">
      <c r="C702" s="220"/>
      <c r="D702" s="225" t="s">
        <v>423</v>
      </c>
      <c r="G702" s="194"/>
      <c r="H702" s="194"/>
    </row>
    <row r="703" spans="3:8" ht="12.75">
      <c r="C703" s="220"/>
      <c r="G703" s="194"/>
      <c r="H703" s="194"/>
    </row>
    <row r="704" spans="3:8" ht="12.75">
      <c r="C704" s="221">
        <v>201000</v>
      </c>
      <c r="D704" s="222" t="s">
        <v>185</v>
      </c>
      <c r="E704" s="222"/>
      <c r="F704" s="222"/>
      <c r="G704" s="223">
        <f>G2298*0.001</f>
        <v>3598462</v>
      </c>
      <c r="H704" s="223">
        <f>H2298*0.001</f>
        <v>3598462</v>
      </c>
    </row>
    <row r="705" spans="3:8" ht="12.75">
      <c r="C705" s="220"/>
      <c r="G705" s="194"/>
      <c r="H705" s="194"/>
    </row>
    <row r="706" spans="3:8" ht="12.75">
      <c r="C706" s="220">
        <v>202200</v>
      </c>
      <c r="D706" s="164" t="s">
        <v>186</v>
      </c>
      <c r="G706" s="194">
        <f>G2305*0.001</f>
        <v>30717994.766</v>
      </c>
      <c r="H706" s="194">
        <f>H2305*0.001</f>
        <v>18214294.71</v>
      </c>
    </row>
    <row r="707" spans="3:8" ht="12.75">
      <c r="C707" s="220">
        <v>202400</v>
      </c>
      <c r="D707" s="164" t="s">
        <v>187</v>
      </c>
      <c r="G707" s="194">
        <f>G904</f>
        <v>15971308.821130004</v>
      </c>
      <c r="H707" s="194">
        <f>H904</f>
        <v>15628386.979640007</v>
      </c>
    </row>
    <row r="708" spans="3:8" ht="12.75">
      <c r="C708" s="221">
        <v>203000</v>
      </c>
      <c r="D708" s="222" t="s">
        <v>188</v>
      </c>
      <c r="E708" s="222"/>
      <c r="F708" s="222"/>
      <c r="G708" s="223">
        <f>SUM(G706:G707)</f>
        <v>46689303.58713</v>
      </c>
      <c r="H708" s="223">
        <f>SUM(H706:H707)</f>
        <v>33842681.68964001</v>
      </c>
    </row>
    <row r="709" spans="3:8" ht="12.75">
      <c r="C709" s="224">
        <v>204900</v>
      </c>
      <c r="D709" s="225" t="s">
        <v>424</v>
      </c>
      <c r="E709" s="225"/>
      <c r="F709" s="225"/>
      <c r="G709" s="226">
        <f>G704+G708</f>
        <v>50287765.58713</v>
      </c>
      <c r="H709" s="226">
        <f>H704+H708</f>
        <v>37441143.68964001</v>
      </c>
    </row>
    <row r="710" spans="3:8" ht="12.75">
      <c r="C710" s="220"/>
      <c r="G710" s="194"/>
      <c r="H710" s="194"/>
    </row>
    <row r="711" spans="3:8" ht="12.75">
      <c r="C711" s="224">
        <v>207000</v>
      </c>
      <c r="D711" s="225" t="s">
        <v>189</v>
      </c>
      <c r="E711" s="225"/>
      <c r="F711" s="225"/>
      <c r="G711" s="226">
        <f>SUM(G709:G710)</f>
        <v>50287765.58713</v>
      </c>
      <c r="H711" s="226">
        <f>SUM(H709:H710)</f>
        <v>37441143.68964001</v>
      </c>
    </row>
    <row r="712" spans="3:8" ht="12.75">
      <c r="C712" s="224"/>
      <c r="D712" s="225"/>
      <c r="E712" s="225"/>
      <c r="F712" s="225"/>
      <c r="G712" s="226"/>
      <c r="H712" s="226"/>
    </row>
    <row r="713" spans="3:8" ht="12.75">
      <c r="C713" s="227">
        <v>207200</v>
      </c>
      <c r="D713" s="228" t="s">
        <v>190</v>
      </c>
      <c r="E713" s="228"/>
      <c r="F713" s="228"/>
      <c r="G713" s="229">
        <v>0</v>
      </c>
      <c r="H713" s="229">
        <v>0</v>
      </c>
    </row>
    <row r="714" spans="3:8" ht="12.75">
      <c r="C714" s="227">
        <v>207600</v>
      </c>
      <c r="D714" s="228" t="s">
        <v>1794</v>
      </c>
      <c r="E714" s="228"/>
      <c r="F714" s="228"/>
      <c r="G714" s="229">
        <v>0</v>
      </c>
      <c r="H714" s="229">
        <v>0</v>
      </c>
    </row>
    <row r="715" spans="3:8" ht="12.75">
      <c r="C715" s="227">
        <v>207800</v>
      </c>
      <c r="D715" s="228" t="s">
        <v>1795</v>
      </c>
      <c r="E715" s="228"/>
      <c r="F715" s="228"/>
      <c r="G715" s="230">
        <f>(H143+H145-G145+H147)*0.001</f>
        <v>481985.22000000003</v>
      </c>
      <c r="H715" s="229">
        <v>408495</v>
      </c>
    </row>
    <row r="716" spans="3:8" ht="12.75">
      <c r="C716" s="221">
        <v>208000</v>
      </c>
      <c r="D716" s="222" t="s">
        <v>1796</v>
      </c>
      <c r="E716" s="222"/>
      <c r="F716" s="222"/>
      <c r="G716" s="223">
        <f>SUM(G713:G715)</f>
        <v>481985.22000000003</v>
      </c>
      <c r="H716" s="223">
        <f>SUM(H713:H715)</f>
        <v>408495</v>
      </c>
    </row>
    <row r="717" spans="3:8" ht="12.75">
      <c r="C717" s="221"/>
      <c r="D717" s="222"/>
      <c r="E717" s="222"/>
      <c r="F717" s="222"/>
      <c r="G717" s="223"/>
      <c r="H717" s="223"/>
    </row>
    <row r="718" spans="3:8" ht="12.75">
      <c r="C718" s="227">
        <v>208200</v>
      </c>
      <c r="D718" s="228" t="s">
        <v>1797</v>
      </c>
      <c r="E718" s="228"/>
      <c r="F718" s="228"/>
      <c r="G718" s="229">
        <v>0</v>
      </c>
      <c r="H718" s="229">
        <v>0</v>
      </c>
    </row>
    <row r="719" spans="3:8" ht="12.75">
      <c r="C719" s="227">
        <v>208600</v>
      </c>
      <c r="D719" s="228" t="s">
        <v>1798</v>
      </c>
      <c r="E719" s="228"/>
      <c r="F719" s="228"/>
      <c r="G719" s="229">
        <v>0</v>
      </c>
      <c r="H719" s="229">
        <v>0</v>
      </c>
    </row>
    <row r="720" spans="3:8" ht="12.75">
      <c r="C720" s="227">
        <v>208900</v>
      </c>
      <c r="D720" s="228" t="s">
        <v>1799</v>
      </c>
      <c r="E720" s="228"/>
      <c r="F720" s="228"/>
      <c r="G720" s="229">
        <v>0</v>
      </c>
      <c r="H720" s="229">
        <v>0</v>
      </c>
    </row>
    <row r="721" spans="3:8" ht="12.75">
      <c r="C721" s="221">
        <v>209000</v>
      </c>
      <c r="D721" s="222" t="s">
        <v>1800</v>
      </c>
      <c r="E721" s="222"/>
      <c r="F721" s="222"/>
      <c r="G721" s="223">
        <f>SUM(G718:G720)</f>
        <v>0</v>
      </c>
      <c r="H721" s="223">
        <f>SUM(H718:H720)</f>
        <v>0</v>
      </c>
    </row>
    <row r="722" spans="3:8" ht="12.75">
      <c r="C722" s="224">
        <v>209900</v>
      </c>
      <c r="D722" s="225" t="s">
        <v>1149</v>
      </c>
      <c r="E722" s="225"/>
      <c r="F722" s="225"/>
      <c r="G722" s="226">
        <f>G716+G721</f>
        <v>481985.22000000003</v>
      </c>
      <c r="H722" s="226">
        <f>H716+H721</f>
        <v>408495</v>
      </c>
    </row>
    <row r="723" spans="3:8" ht="12.75">
      <c r="C723" s="220"/>
      <c r="G723" s="194"/>
      <c r="H723" s="194"/>
    </row>
    <row r="724" spans="3:8" ht="12.75">
      <c r="C724" s="231">
        <v>219900</v>
      </c>
      <c r="D724" s="232" t="s">
        <v>1150</v>
      </c>
      <c r="E724" s="232"/>
      <c r="F724" s="232"/>
      <c r="G724" s="233">
        <f>H141*0.001</f>
        <v>7177783</v>
      </c>
      <c r="H724" s="233">
        <v>7177783</v>
      </c>
    </row>
    <row r="725" spans="3:8" ht="12.75">
      <c r="C725" s="220"/>
      <c r="G725" s="194"/>
      <c r="H725" s="194"/>
    </row>
    <row r="726" spans="3:8" ht="12.75">
      <c r="C726" s="220">
        <v>221200</v>
      </c>
      <c r="D726" s="164" t="s">
        <v>1151</v>
      </c>
      <c r="G726" s="194"/>
      <c r="H726" s="194"/>
    </row>
    <row r="727" spans="3:8" ht="12.75">
      <c r="C727" s="220">
        <v>221400</v>
      </c>
      <c r="D727" s="164" t="s">
        <v>1152</v>
      </c>
      <c r="G727" s="194">
        <f>G2315*0.001</f>
        <v>0</v>
      </c>
      <c r="H727" s="194"/>
    </row>
    <row r="728" spans="3:8" ht="12.75">
      <c r="C728" s="221">
        <v>222000</v>
      </c>
      <c r="D728" s="222" t="s">
        <v>1153</v>
      </c>
      <c r="E728" s="222"/>
      <c r="F728" s="222"/>
      <c r="G728" s="223">
        <f>SUM(G727)</f>
        <v>0</v>
      </c>
      <c r="H728" s="223"/>
    </row>
    <row r="729" spans="3:8" ht="12.75">
      <c r="C729" s="220"/>
      <c r="G729" s="194"/>
      <c r="H729" s="194"/>
    </row>
    <row r="730" spans="3:8" ht="12.75">
      <c r="C730" s="220">
        <v>223200</v>
      </c>
      <c r="D730" s="164" t="s">
        <v>1133</v>
      </c>
      <c r="G730" s="194">
        <f>G2319*0.001</f>
        <v>629548.022</v>
      </c>
      <c r="H730" s="194">
        <f>H2319*0.001</f>
        <v>679911.8640000001</v>
      </c>
    </row>
    <row r="731" spans="3:8" ht="12.75">
      <c r="C731" s="221">
        <v>224000</v>
      </c>
      <c r="D731" s="222" t="s">
        <v>1134</v>
      </c>
      <c r="E731" s="222"/>
      <c r="F731" s="222"/>
      <c r="G731" s="223">
        <f>SUM(G730)</f>
        <v>629548.022</v>
      </c>
      <c r="H731" s="223">
        <f>SUM(H730)</f>
        <v>679911.8640000001</v>
      </c>
    </row>
    <row r="732" spans="3:8" ht="12.75">
      <c r="C732" s="231">
        <v>229900</v>
      </c>
      <c r="D732" s="232" t="s">
        <v>1135</v>
      </c>
      <c r="E732" s="232"/>
      <c r="F732" s="232"/>
      <c r="G732" s="233">
        <f>G728+G731</f>
        <v>629548.022</v>
      </c>
      <c r="H732" s="233">
        <f>H728+H731</f>
        <v>679911.8640000001</v>
      </c>
    </row>
    <row r="733" spans="3:8" ht="12.75">
      <c r="C733" s="220"/>
      <c r="G733" s="194"/>
      <c r="H733" s="194"/>
    </row>
    <row r="734" spans="3:8" ht="12.75">
      <c r="C734" s="224">
        <v>240000</v>
      </c>
      <c r="D734" s="225" t="s">
        <v>425</v>
      </c>
      <c r="E734" s="225"/>
      <c r="F734" s="225"/>
      <c r="G734" s="226">
        <f>G724+G732</f>
        <v>7807331.022</v>
      </c>
      <c r="H734" s="226">
        <f>H724+H732</f>
        <v>7857694.864</v>
      </c>
    </row>
    <row r="735" spans="3:8" ht="12.75">
      <c r="C735" s="220"/>
      <c r="G735" s="194"/>
      <c r="H735" s="194"/>
    </row>
    <row r="736" spans="3:8" ht="12.75">
      <c r="C736" s="227">
        <v>241200</v>
      </c>
      <c r="D736" s="228" t="s">
        <v>1136</v>
      </c>
      <c r="G736" s="194">
        <v>0</v>
      </c>
      <c r="H736" s="194">
        <v>0</v>
      </c>
    </row>
    <row r="737" spans="3:8" ht="12.75">
      <c r="C737" s="227">
        <v>241600</v>
      </c>
      <c r="D737" s="228" t="s">
        <v>1137</v>
      </c>
      <c r="G737" s="194">
        <v>0</v>
      </c>
      <c r="H737" s="194">
        <v>0</v>
      </c>
    </row>
    <row r="738" spans="3:8" ht="12.75">
      <c r="C738" s="227">
        <v>241800</v>
      </c>
      <c r="D738" s="228" t="s">
        <v>1138</v>
      </c>
      <c r="G738" s="194">
        <v>0</v>
      </c>
      <c r="H738" s="194">
        <v>0</v>
      </c>
    </row>
    <row r="739" spans="3:8" ht="12.75">
      <c r="C739" s="221">
        <v>242000</v>
      </c>
      <c r="D739" s="222" t="s">
        <v>1139</v>
      </c>
      <c r="E739" s="222"/>
      <c r="F739" s="222"/>
      <c r="G739" s="223">
        <f>SUM(G736:G738)</f>
        <v>0</v>
      </c>
      <c r="H739" s="223">
        <v>0</v>
      </c>
    </row>
    <row r="740" spans="3:8" ht="12.75">
      <c r="C740" s="221"/>
      <c r="D740" s="222"/>
      <c r="G740" s="194"/>
      <c r="H740" s="194"/>
    </row>
    <row r="741" spans="3:8" ht="12.75">
      <c r="C741" s="227">
        <v>243200</v>
      </c>
      <c r="D741" s="228" t="s">
        <v>1140</v>
      </c>
      <c r="G741" s="194">
        <v>0</v>
      </c>
      <c r="H741" s="194">
        <v>0</v>
      </c>
    </row>
    <row r="742" spans="3:8" ht="12.75">
      <c r="C742" s="227">
        <v>243600</v>
      </c>
      <c r="D742" s="228" t="s">
        <v>1141</v>
      </c>
      <c r="G742" s="194">
        <v>0</v>
      </c>
      <c r="H742" s="194">
        <v>0</v>
      </c>
    </row>
    <row r="743" spans="3:8" ht="12.75">
      <c r="C743" s="227">
        <v>243900</v>
      </c>
      <c r="D743" s="228" t="s">
        <v>1011</v>
      </c>
      <c r="G743" s="194">
        <v>0</v>
      </c>
      <c r="H743" s="194">
        <v>0</v>
      </c>
    </row>
    <row r="744" spans="3:8" ht="12.75">
      <c r="C744" s="221">
        <v>244000</v>
      </c>
      <c r="D744" s="222" t="s">
        <v>1800</v>
      </c>
      <c r="E744" s="222"/>
      <c r="F744" s="222"/>
      <c r="G744" s="223">
        <f>SUM(G741:G743)</f>
        <v>0</v>
      </c>
      <c r="H744" s="223">
        <f>SUM(H741:H743)</f>
        <v>0</v>
      </c>
    </row>
    <row r="745" spans="3:8" ht="12.75">
      <c r="C745" s="220"/>
      <c r="G745" s="194"/>
      <c r="H745" s="194"/>
    </row>
    <row r="746" spans="3:8" ht="12.75">
      <c r="C746" s="221">
        <v>246000</v>
      </c>
      <c r="D746" s="222" t="s">
        <v>1012</v>
      </c>
      <c r="E746" s="222"/>
      <c r="F746" s="222"/>
      <c r="G746" s="194">
        <v>0</v>
      </c>
      <c r="H746" s="223">
        <v>0</v>
      </c>
    </row>
    <row r="747" spans="3:8" ht="12.75">
      <c r="C747" s="224">
        <v>249900</v>
      </c>
      <c r="D747" s="225" t="s">
        <v>1013</v>
      </c>
      <c r="G747" s="226">
        <f>G739+G744+G746</f>
        <v>0</v>
      </c>
      <c r="H747" s="226">
        <f>H739+H744+H746</f>
        <v>0</v>
      </c>
    </row>
    <row r="748" spans="3:8" ht="12.75">
      <c r="C748" s="220"/>
      <c r="G748" s="194"/>
      <c r="H748" s="194"/>
    </row>
    <row r="749" spans="3:8" ht="12.75">
      <c r="C749" s="220">
        <v>251200</v>
      </c>
      <c r="D749" s="164" t="s">
        <v>1014</v>
      </c>
      <c r="G749" s="194">
        <v>0</v>
      </c>
      <c r="H749" s="194">
        <v>0</v>
      </c>
    </row>
    <row r="750" spans="3:8" ht="12.75">
      <c r="C750" s="220">
        <v>251400</v>
      </c>
      <c r="D750" s="164" t="s">
        <v>1015</v>
      </c>
      <c r="G750" s="194">
        <f>G2323*0.001</f>
        <v>0</v>
      </c>
      <c r="H750" s="194">
        <v>0</v>
      </c>
    </row>
    <row r="751" spans="3:8" ht="12.75">
      <c r="C751" s="221">
        <v>252000</v>
      </c>
      <c r="D751" s="222" t="s">
        <v>1016</v>
      </c>
      <c r="E751" s="222"/>
      <c r="F751" s="222"/>
      <c r="G751" s="223">
        <f>SUM(G749:G750)</f>
        <v>0</v>
      </c>
      <c r="H751" s="223">
        <f>SUM(H749:H750)</f>
        <v>0</v>
      </c>
    </row>
    <row r="752" spans="3:8" ht="12.75">
      <c r="C752" s="220"/>
      <c r="G752" s="194"/>
      <c r="H752" s="194"/>
    </row>
    <row r="753" spans="3:8" ht="12.75">
      <c r="C753" s="220">
        <v>253200</v>
      </c>
      <c r="D753" s="164" t="s">
        <v>1017</v>
      </c>
      <c r="G753" s="194">
        <f>G2328*0.001</f>
        <v>50363.841</v>
      </c>
      <c r="H753" s="194">
        <f>H2328*0.001</f>
        <v>50363.841</v>
      </c>
    </row>
    <row r="754" spans="3:8" ht="12.75">
      <c r="C754" s="221">
        <v>254000</v>
      </c>
      <c r="D754" s="222" t="s">
        <v>1018</v>
      </c>
      <c r="E754" s="222"/>
      <c r="F754" s="222"/>
      <c r="G754" s="223">
        <f>SUM(G753)</f>
        <v>50363.841</v>
      </c>
      <c r="H754" s="223">
        <f>SUM(H753)</f>
        <v>50363.841</v>
      </c>
    </row>
    <row r="755" spans="3:8" ht="12.75">
      <c r="C755" s="220"/>
      <c r="G755" s="194"/>
      <c r="H755" s="194"/>
    </row>
    <row r="756" spans="3:8" ht="12.75">
      <c r="C756" s="220">
        <v>255000</v>
      </c>
      <c r="D756" s="164" t="s">
        <v>1019</v>
      </c>
      <c r="G756" s="194">
        <f>G2323*0.001</f>
        <v>0</v>
      </c>
      <c r="H756" s="194">
        <f>H2323*0.001</f>
        <v>0</v>
      </c>
    </row>
    <row r="757" spans="3:8" ht="12.75">
      <c r="C757" s="220">
        <v>255100</v>
      </c>
      <c r="D757" s="164" t="s">
        <v>1020</v>
      </c>
      <c r="G757" s="194">
        <f>H110*0.001</f>
        <v>0</v>
      </c>
      <c r="H757" s="194">
        <f>I112*0.001</f>
        <v>0</v>
      </c>
    </row>
    <row r="758" spans="3:8" ht="12.75">
      <c r="C758" s="220">
        <v>255200</v>
      </c>
      <c r="D758" s="164" t="s">
        <v>1021</v>
      </c>
      <c r="G758" s="194">
        <f>G2333*0.001</f>
        <v>0</v>
      </c>
      <c r="H758" s="194">
        <f>H2333*0.001</f>
        <v>0</v>
      </c>
    </row>
    <row r="759" spans="3:8" ht="12.75">
      <c r="C759" s="221">
        <v>256000</v>
      </c>
      <c r="D759" s="222" t="s">
        <v>749</v>
      </c>
      <c r="E759" s="222"/>
      <c r="F759" s="222"/>
      <c r="G759" s="223">
        <f>SUM(G756:G758)</f>
        <v>0</v>
      </c>
      <c r="H759" s="223">
        <f>SUM(H756:H758)</f>
        <v>0</v>
      </c>
    </row>
    <row r="760" spans="3:8" ht="12.75">
      <c r="C760" s="220"/>
      <c r="G760" s="194"/>
      <c r="H760" s="194"/>
    </row>
    <row r="761" spans="3:8" ht="12.75">
      <c r="C761" s="220">
        <v>257200</v>
      </c>
      <c r="D761" s="164" t="s">
        <v>433</v>
      </c>
      <c r="G761" s="194">
        <f>G2338*0.001</f>
        <v>35100.222</v>
      </c>
      <c r="H761" s="194">
        <f>H2338*0.001</f>
        <v>31113.085</v>
      </c>
    </row>
    <row r="762" spans="3:8" ht="12.75">
      <c r="C762" s="220">
        <v>257400</v>
      </c>
      <c r="D762" s="164" t="s">
        <v>434</v>
      </c>
      <c r="G762" s="194"/>
      <c r="H762" s="194"/>
    </row>
    <row r="763" spans="3:8" ht="12.75">
      <c r="C763" s="221">
        <v>258000</v>
      </c>
      <c r="D763" s="222" t="s">
        <v>435</v>
      </c>
      <c r="E763" s="222"/>
      <c r="F763" s="222"/>
      <c r="G763" s="223">
        <f>SUM(G761)</f>
        <v>35100.222</v>
      </c>
      <c r="H763" s="223">
        <f>SUM(H761)</f>
        <v>31113.085</v>
      </c>
    </row>
    <row r="764" spans="3:8" ht="12.75">
      <c r="C764" s="220"/>
      <c r="G764" s="194"/>
      <c r="H764" s="194"/>
    </row>
    <row r="765" spans="3:8" ht="12.75">
      <c r="C765" s="220">
        <v>258200</v>
      </c>
      <c r="D765" s="164" t="s">
        <v>741</v>
      </c>
      <c r="G765" s="194"/>
      <c r="H765" s="194"/>
    </row>
    <row r="766" spans="3:8" ht="12.75">
      <c r="C766" s="221">
        <v>259000</v>
      </c>
      <c r="D766" s="222" t="s">
        <v>742</v>
      </c>
      <c r="E766" s="222"/>
      <c r="F766" s="222"/>
      <c r="G766" s="223"/>
      <c r="H766" s="223"/>
    </row>
    <row r="767" spans="3:8" ht="12.75">
      <c r="C767" s="224">
        <v>259900</v>
      </c>
      <c r="D767" s="225" t="s">
        <v>743</v>
      </c>
      <c r="E767" s="225"/>
      <c r="F767" s="225"/>
      <c r="G767" s="226">
        <f>G751+G754+G759+G763+G766</f>
        <v>85464.063</v>
      </c>
      <c r="H767" s="226">
        <f>H751+H754+H759+H763+H766</f>
        <v>81476.926</v>
      </c>
    </row>
    <row r="768" spans="3:8" ht="12.75">
      <c r="C768" s="220"/>
      <c r="G768" s="194"/>
      <c r="H768" s="194"/>
    </row>
    <row r="769" spans="3:8" ht="12.75">
      <c r="C769" s="220">
        <v>261200</v>
      </c>
      <c r="D769" s="164" t="s">
        <v>577</v>
      </c>
      <c r="G769" s="194">
        <f>G2344*0.001</f>
        <v>1295710.60628</v>
      </c>
      <c r="H769" s="194">
        <f>H2344*0.001</f>
        <v>835435.712</v>
      </c>
    </row>
    <row r="770" spans="3:8" ht="12.75">
      <c r="C770" s="220">
        <v>261400</v>
      </c>
      <c r="D770" s="164" t="s">
        <v>578</v>
      </c>
      <c r="G770" s="194">
        <f>G2348*0.001</f>
        <v>2591304.325</v>
      </c>
      <c r="H770" s="194">
        <f>H2348*0.001</f>
        <v>1773824.655</v>
      </c>
    </row>
    <row r="771" spans="3:8" ht="12.75">
      <c r="C771" s="221">
        <v>262000</v>
      </c>
      <c r="D771" s="222" t="s">
        <v>1749</v>
      </c>
      <c r="E771" s="222"/>
      <c r="F771" s="222"/>
      <c r="G771" s="223">
        <f>SUM(G769:G770)</f>
        <v>3887014.93128</v>
      </c>
      <c r="H771" s="223">
        <f>SUM(H769:H770)</f>
        <v>2609260.367</v>
      </c>
    </row>
    <row r="772" spans="3:8" ht="12.75">
      <c r="C772" s="220"/>
      <c r="F772" s="260"/>
      <c r="G772" s="194"/>
      <c r="H772" s="194"/>
    </row>
    <row r="773" spans="3:8" ht="12.75">
      <c r="C773" s="220">
        <v>263200</v>
      </c>
      <c r="D773" s="164" t="s">
        <v>1750</v>
      </c>
      <c r="G773" s="194">
        <f>(G2374*0.001)</f>
        <v>2371086.8056300003</v>
      </c>
      <c r="H773" s="194">
        <f>H2374*0.001</f>
        <v>2922660.4020000002</v>
      </c>
    </row>
    <row r="774" spans="3:8" ht="12.75">
      <c r="C774" s="220">
        <v>263600</v>
      </c>
      <c r="D774" s="164" t="s">
        <v>428</v>
      </c>
      <c r="G774" s="194">
        <f>G2395*0.001</f>
        <v>387187.866</v>
      </c>
      <c r="H774" s="194">
        <f>H2395*0.001</f>
        <v>244794.897</v>
      </c>
    </row>
    <row r="775" spans="3:8" ht="12.75">
      <c r="C775" s="221">
        <v>264000</v>
      </c>
      <c r="D775" s="222" t="s">
        <v>1751</v>
      </c>
      <c r="E775" s="222"/>
      <c r="F775" s="222"/>
      <c r="G775" s="223">
        <f>SUM(G773:G774)</f>
        <v>2758274.67163</v>
      </c>
      <c r="H775" s="223">
        <f>SUM(H773:H774)</f>
        <v>3167455.299</v>
      </c>
    </row>
    <row r="776" spans="3:8" ht="12.75">
      <c r="C776" s="224">
        <v>269900</v>
      </c>
      <c r="D776" s="225" t="s">
        <v>1752</v>
      </c>
      <c r="E776" s="225"/>
      <c r="F776" s="225"/>
      <c r="G776" s="226">
        <f>G771+G775</f>
        <v>6645289.602910001</v>
      </c>
      <c r="H776" s="226">
        <f>H771+H775</f>
        <v>5776715.666</v>
      </c>
    </row>
    <row r="777" spans="3:8" ht="12.75">
      <c r="C777" s="220"/>
      <c r="G777" s="194"/>
      <c r="H777" s="194"/>
    </row>
    <row r="778" spans="3:8" ht="12.75">
      <c r="C778" s="224">
        <v>279900</v>
      </c>
      <c r="D778" s="225" t="s">
        <v>429</v>
      </c>
      <c r="E778" s="225"/>
      <c r="F778" s="225"/>
      <c r="G778" s="226">
        <f>(H139-G139)*0.001</f>
        <v>278385.964</v>
      </c>
      <c r="H778" s="226">
        <v>461916</v>
      </c>
    </row>
    <row r="779" spans="3:8" ht="12.75">
      <c r="C779" s="220"/>
      <c r="G779" s="194"/>
      <c r="H779" s="194"/>
    </row>
    <row r="780" spans="3:8" ht="12.75">
      <c r="C780" s="224">
        <v>290900</v>
      </c>
      <c r="D780" s="225" t="s">
        <v>1753</v>
      </c>
      <c r="E780" s="225"/>
      <c r="F780" s="225"/>
      <c r="G780" s="226">
        <f>G711+G722+G734+G747+G767+G776+G778</f>
        <v>65586221.45904</v>
      </c>
      <c r="H780" s="226">
        <f>H711+H722+H734+H747+H767+H776+H778</f>
        <v>52027442.14564001</v>
      </c>
    </row>
    <row r="781" ht="12.75">
      <c r="C781" s="220"/>
    </row>
    <row r="782" ht="12.75">
      <c r="C782" s="220"/>
    </row>
    <row r="783" ht="12.75">
      <c r="C783" s="220"/>
    </row>
    <row r="784" ht="12.75">
      <c r="C784" s="224" t="s">
        <v>1175</v>
      </c>
    </row>
    <row r="785" ht="12.75">
      <c r="C785" s="220"/>
    </row>
    <row r="786" spans="3:8" ht="12.75">
      <c r="C786" s="220"/>
      <c r="E786" s="225" t="s">
        <v>1708</v>
      </c>
      <c r="F786" s="225"/>
      <c r="G786" s="226">
        <f>G699-G780</f>
        <v>0.0006299987435340881</v>
      </c>
      <c r="H786" s="226">
        <f>H699-H780</f>
        <v>-0.3336400017142296</v>
      </c>
    </row>
    <row r="787" spans="1:8" ht="12.75">
      <c r="A787" s="211"/>
      <c r="B787" s="211"/>
      <c r="C787" s="211"/>
      <c r="D787" s="211"/>
      <c r="E787" s="211"/>
      <c r="F787" s="211"/>
      <c r="G787" s="212"/>
      <c r="H787" s="212"/>
    </row>
    <row r="788" spans="1:8" ht="12.75">
      <c r="A788" s="211"/>
      <c r="B788" s="211"/>
      <c r="C788" s="211" t="s">
        <v>1111</v>
      </c>
      <c r="D788" s="211"/>
      <c r="E788" s="211"/>
      <c r="F788" s="211"/>
      <c r="G788" s="212"/>
      <c r="H788" s="212"/>
    </row>
    <row r="789" spans="1:8" ht="12.75">
      <c r="A789" s="211"/>
      <c r="B789" s="211"/>
      <c r="C789" s="211"/>
      <c r="D789" s="211"/>
      <c r="E789" s="211"/>
      <c r="F789" s="211"/>
      <c r="G789" s="212"/>
      <c r="H789" s="212"/>
    </row>
    <row r="790" spans="1:8" ht="12.75">
      <c r="A790" s="211"/>
      <c r="B790" s="211"/>
      <c r="C790" s="211"/>
      <c r="D790" s="211"/>
      <c r="E790" s="211"/>
      <c r="F790" s="211"/>
      <c r="G790" s="212"/>
      <c r="H790" s="212"/>
    </row>
    <row r="791" spans="1:8" ht="12.75">
      <c r="A791" s="211"/>
      <c r="B791" s="211"/>
      <c r="C791" s="211"/>
      <c r="D791" s="211"/>
      <c r="E791" s="211"/>
      <c r="F791" s="211"/>
      <c r="G791" s="212"/>
      <c r="H791" s="212"/>
    </row>
    <row r="792" spans="1:8" ht="12.75">
      <c r="A792" s="211"/>
      <c r="B792" s="211"/>
      <c r="C792" s="211"/>
      <c r="D792" s="211"/>
      <c r="E792" s="211"/>
      <c r="F792" s="211"/>
      <c r="G792" s="212"/>
      <c r="H792" s="212"/>
    </row>
    <row r="793" spans="1:8" ht="12.75">
      <c r="A793" s="211"/>
      <c r="B793" s="211"/>
      <c r="C793" s="211" t="s">
        <v>1673</v>
      </c>
      <c r="D793" s="211" t="s">
        <v>1176</v>
      </c>
      <c r="E793" s="211"/>
      <c r="F793" s="211"/>
      <c r="G793" s="212"/>
      <c r="H793" s="212"/>
    </row>
    <row r="794" spans="1:8" ht="12.75">
      <c r="A794" s="211"/>
      <c r="B794" s="211"/>
      <c r="C794" s="211"/>
      <c r="D794" s="211"/>
      <c r="E794" s="211"/>
      <c r="F794" s="211"/>
      <c r="G794" s="212"/>
      <c r="H794" s="212"/>
    </row>
    <row r="795" spans="1:8" ht="12.75">
      <c r="A795" s="211"/>
      <c r="B795" s="211"/>
      <c r="C795" s="211"/>
      <c r="D795" s="211"/>
      <c r="E795" s="211"/>
      <c r="F795" s="211"/>
      <c r="G795" s="212"/>
      <c r="H795" s="212"/>
    </row>
    <row r="796" spans="1:8" ht="12.75">
      <c r="A796" s="211"/>
      <c r="B796" s="211"/>
      <c r="C796" s="211"/>
      <c r="D796" s="211"/>
      <c r="E796" s="211"/>
      <c r="F796" s="211"/>
      <c r="G796" s="234">
        <v>2006</v>
      </c>
      <c r="H796" s="234">
        <v>2005</v>
      </c>
    </row>
    <row r="797" spans="1:8" ht="12.75">
      <c r="A797" s="211"/>
      <c r="B797" s="211"/>
      <c r="C797" s="211"/>
      <c r="D797" s="211"/>
      <c r="E797" s="211"/>
      <c r="F797" s="211"/>
      <c r="G797" s="234"/>
      <c r="H797" s="234"/>
    </row>
    <row r="798" spans="1:8" ht="15">
      <c r="A798" s="211"/>
      <c r="B798" s="211"/>
      <c r="C798" s="211"/>
      <c r="D798" s="211"/>
      <c r="E798" s="211"/>
      <c r="F798" s="211"/>
      <c r="G798" s="235" t="s">
        <v>1113</v>
      </c>
      <c r="H798" s="235" t="s">
        <v>1113</v>
      </c>
    </row>
    <row r="799" spans="3:8" ht="12.75">
      <c r="C799" s="220">
        <v>300000</v>
      </c>
      <c r="D799" s="164" t="s">
        <v>430</v>
      </c>
      <c r="G799" s="194">
        <f>G1480*0.001</f>
        <v>80203239.34034</v>
      </c>
      <c r="H799" s="194">
        <f>H1480*0.001</f>
        <v>69038625.77757001</v>
      </c>
    </row>
    <row r="800" spans="3:8" ht="12.75">
      <c r="C800" s="220">
        <v>300999</v>
      </c>
      <c r="D800" s="225" t="s">
        <v>109</v>
      </c>
      <c r="E800" s="225"/>
      <c r="F800" s="225"/>
      <c r="G800" s="226">
        <f>SUM(G799)</f>
        <v>80203239.34034</v>
      </c>
      <c r="H800" s="226">
        <f>SUM(H799)</f>
        <v>69038625.77757001</v>
      </c>
    </row>
    <row r="801" spans="3:8" ht="12.75">
      <c r="C801" s="220"/>
      <c r="G801" s="194"/>
      <c r="H801" s="194"/>
    </row>
    <row r="802" spans="3:8" ht="12.75">
      <c r="C802" s="220"/>
      <c r="D802" s="236" t="s">
        <v>1879</v>
      </c>
      <c r="G802" s="194"/>
      <c r="H802" s="194"/>
    </row>
    <row r="803" spans="3:8" ht="12.75">
      <c r="C803" s="220">
        <v>301450</v>
      </c>
      <c r="D803" s="164" t="s">
        <v>1880</v>
      </c>
      <c r="G803" s="194">
        <f>G1493*0.001</f>
        <v>61759.59780999999</v>
      </c>
      <c r="H803" s="194">
        <f>H1493*0.001</f>
        <v>38714.56857</v>
      </c>
    </row>
    <row r="804" spans="3:8" ht="12.75">
      <c r="C804" s="220">
        <v>301560</v>
      </c>
      <c r="D804" s="164" t="s">
        <v>1881</v>
      </c>
      <c r="G804" s="194">
        <v>0</v>
      </c>
      <c r="H804" s="194">
        <v>0</v>
      </c>
    </row>
    <row r="805" spans="3:8" ht="12.75">
      <c r="C805" s="220">
        <v>301570</v>
      </c>
      <c r="D805" s="164" t="s">
        <v>1882</v>
      </c>
      <c r="G805" s="194">
        <f>G536*0.001</f>
        <v>227705.458</v>
      </c>
      <c r="H805" s="194">
        <v>316356</v>
      </c>
    </row>
    <row r="806" spans="3:8" ht="12.75">
      <c r="C806" s="220">
        <v>301750</v>
      </c>
      <c r="D806" s="164" t="s">
        <v>1883</v>
      </c>
      <c r="G806" s="194">
        <f>G1513*0.001</f>
        <v>115696.277</v>
      </c>
      <c r="H806" s="194">
        <f>H1513*0.001</f>
        <v>102465.66100000001</v>
      </c>
    </row>
    <row r="807" spans="3:8" ht="12.75">
      <c r="C807" s="220">
        <v>301999</v>
      </c>
      <c r="D807" s="225" t="s">
        <v>1884</v>
      </c>
      <c r="E807" s="225"/>
      <c r="F807" s="225"/>
      <c r="G807" s="226">
        <f>SUM(G803:G806)</f>
        <v>405161.33281</v>
      </c>
      <c r="H807" s="226">
        <f>SUM(H803:H806)</f>
        <v>457536.22957</v>
      </c>
    </row>
    <row r="808" spans="3:8" ht="12.75">
      <c r="C808" s="220"/>
      <c r="G808" s="194"/>
      <c r="H808" s="194"/>
    </row>
    <row r="809" spans="3:8" ht="12.75">
      <c r="C809" s="220">
        <v>302999</v>
      </c>
      <c r="D809" s="225" t="s">
        <v>1885</v>
      </c>
      <c r="E809" s="225"/>
      <c r="F809" s="225"/>
      <c r="G809" s="226">
        <f>G800-G807</f>
        <v>79798078.00753</v>
      </c>
      <c r="H809" s="226">
        <f>H800-H807</f>
        <v>68581089.54800001</v>
      </c>
    </row>
    <row r="810" spans="3:8" ht="12.75">
      <c r="C810" s="220"/>
      <c r="G810" s="194"/>
      <c r="H810" s="194"/>
    </row>
    <row r="811" spans="3:8" ht="12.75">
      <c r="C811" s="220"/>
      <c r="D811" s="236" t="s">
        <v>1886</v>
      </c>
      <c r="G811" s="194"/>
      <c r="H811" s="194"/>
    </row>
    <row r="812" spans="3:8" ht="12.75">
      <c r="C812" s="220">
        <v>303300</v>
      </c>
      <c r="D812" s="164" t="s">
        <v>1887</v>
      </c>
      <c r="G812" s="194">
        <f>G1525*0.001</f>
        <v>14562071.652</v>
      </c>
      <c r="H812" s="194">
        <f>H1525*0.001</f>
        <v>16835758.321</v>
      </c>
    </row>
    <row r="813" spans="3:8" ht="12.75">
      <c r="C813" s="220">
        <v>303310</v>
      </c>
      <c r="D813" s="164" t="s">
        <v>1888</v>
      </c>
      <c r="G813" s="194">
        <f>G1532*0.001</f>
        <v>2957774.15875</v>
      </c>
      <c r="H813" s="194">
        <f>H1532*0.001</f>
        <v>2719563.22</v>
      </c>
    </row>
    <row r="814" spans="3:8" ht="12.75">
      <c r="C814" s="220">
        <v>303320</v>
      </c>
      <c r="D814" s="164" t="s">
        <v>1889</v>
      </c>
      <c r="G814" s="194">
        <f>G1541*0.001</f>
        <v>4239930.67415</v>
      </c>
      <c r="H814" s="194">
        <f>H1541*0.001</f>
        <v>3988694.6</v>
      </c>
    </row>
    <row r="815" spans="3:8" ht="12.75">
      <c r="C815" s="220">
        <v>303330</v>
      </c>
      <c r="D815" s="164" t="s">
        <v>1890</v>
      </c>
      <c r="G815" s="194">
        <f>G1549*0.001</f>
        <v>5338788.222</v>
      </c>
      <c r="H815" s="194">
        <f>H1549*0.001</f>
        <v>4727497.734</v>
      </c>
    </row>
    <row r="816" spans="3:8" ht="12.75">
      <c r="C816" s="220">
        <v>303350</v>
      </c>
      <c r="D816" s="164" t="s">
        <v>1891</v>
      </c>
      <c r="G816" s="194">
        <f>G1564*0.001</f>
        <v>1668510.2848600002</v>
      </c>
      <c r="H816" s="194">
        <f>H1564*0.001</f>
        <v>1137216.083</v>
      </c>
    </row>
    <row r="817" spans="3:8" ht="12.75">
      <c r="C817" s="220">
        <v>303370</v>
      </c>
      <c r="D817" s="164" t="s">
        <v>1892</v>
      </c>
      <c r="G817" s="194">
        <v>0</v>
      </c>
      <c r="H817" s="194">
        <v>0</v>
      </c>
    </row>
    <row r="818" spans="3:8" ht="12.75">
      <c r="C818" s="220">
        <v>303380</v>
      </c>
      <c r="D818" s="164" t="s">
        <v>1893</v>
      </c>
      <c r="G818" s="194">
        <v>0</v>
      </c>
      <c r="H818" s="194">
        <v>0</v>
      </c>
    </row>
    <row r="819" spans="3:8" ht="12.75">
      <c r="C819" s="220">
        <v>303110</v>
      </c>
      <c r="D819" s="164" t="s">
        <v>1960</v>
      </c>
      <c r="G819" s="194">
        <f>G1569*0.001</f>
        <v>-784990.294</v>
      </c>
      <c r="H819" s="194">
        <f>H1569*0.001</f>
        <v>-650208.008</v>
      </c>
    </row>
    <row r="820" spans="3:8" ht="12.75">
      <c r="C820" s="220">
        <v>303450</v>
      </c>
      <c r="D820" s="164" t="s">
        <v>1961</v>
      </c>
      <c r="G820" s="194"/>
      <c r="H820" s="194"/>
    </row>
    <row r="821" spans="3:8" ht="12.75">
      <c r="C821" s="220">
        <v>303999</v>
      </c>
      <c r="D821" s="225" t="s">
        <v>1962</v>
      </c>
      <c r="E821" s="225"/>
      <c r="F821" s="225"/>
      <c r="G821" s="226">
        <f>SUM(G812:G820)</f>
        <v>27982084.69776</v>
      </c>
      <c r="H821" s="226">
        <f>SUM(H812:H820)</f>
        <v>28758521.95</v>
      </c>
    </row>
    <row r="822" spans="3:8" ht="12.75">
      <c r="C822" s="220"/>
      <c r="G822" s="194"/>
      <c r="H822" s="194"/>
    </row>
    <row r="823" spans="3:8" ht="12.75">
      <c r="C823" s="220">
        <v>304999</v>
      </c>
      <c r="D823" s="225" t="s">
        <v>1963</v>
      </c>
      <c r="E823" s="225"/>
      <c r="F823" s="225"/>
      <c r="G823" s="226">
        <f>G809-G821</f>
        <v>51815993.30977</v>
      </c>
      <c r="H823" s="226">
        <f>H809-H821</f>
        <v>39822567.598000005</v>
      </c>
    </row>
    <row r="824" spans="3:8" ht="12.75">
      <c r="C824" s="220"/>
      <c r="G824" s="194"/>
      <c r="H824" s="194"/>
    </row>
    <row r="825" spans="3:8" ht="12.75">
      <c r="C825" s="220"/>
      <c r="D825" s="236" t="s">
        <v>1964</v>
      </c>
      <c r="G825" s="194"/>
      <c r="H825" s="194"/>
    </row>
    <row r="826" spans="3:8" ht="12.75">
      <c r="C826" s="220">
        <v>305320</v>
      </c>
      <c r="D826" s="164" t="s">
        <v>1898</v>
      </c>
      <c r="G826" s="194"/>
      <c r="H826" s="194"/>
    </row>
    <row r="827" spans="3:8" ht="12.75">
      <c r="C827" s="220">
        <v>305330</v>
      </c>
      <c r="D827" s="164" t="s">
        <v>1899</v>
      </c>
      <c r="G827" s="194"/>
      <c r="H827" s="194"/>
    </row>
    <row r="828" spans="3:8" ht="12.75">
      <c r="C828" s="220">
        <v>305450</v>
      </c>
      <c r="D828" s="164" t="s">
        <v>1900</v>
      </c>
      <c r="G828" s="194">
        <f>G1682*0.001</f>
        <v>2816255.771739999</v>
      </c>
      <c r="H828" s="194">
        <f>H1682*0.001</f>
        <v>1998783.4884900001</v>
      </c>
    </row>
    <row r="829" spans="3:8" ht="12.75">
      <c r="C829" s="220">
        <v>305520</v>
      </c>
      <c r="D829" s="164" t="s">
        <v>1901</v>
      </c>
      <c r="G829" s="194">
        <f>G1689*0.001</f>
        <v>80745.77189</v>
      </c>
      <c r="H829" s="194">
        <f>H1689*0.001</f>
        <v>142971.95548</v>
      </c>
    </row>
    <row r="830" spans="3:8" ht="12.75">
      <c r="C830" s="220">
        <v>305530</v>
      </c>
      <c r="D830" s="164" t="s">
        <v>1902</v>
      </c>
      <c r="G830" s="194">
        <f>G1697*0.001</f>
        <v>261276.29464</v>
      </c>
      <c r="H830" s="194">
        <f>H1697*0.001</f>
        <v>491459.97947</v>
      </c>
    </row>
    <row r="831" spans="3:8" ht="12.75">
      <c r="C831" s="220">
        <v>305540</v>
      </c>
      <c r="D831" s="164" t="s">
        <v>1903</v>
      </c>
      <c r="G831" s="194">
        <f>G1754*0.001</f>
        <v>912669.1951599999</v>
      </c>
      <c r="H831" s="194">
        <f>H1754*0.001</f>
        <v>561576.93129</v>
      </c>
    </row>
    <row r="832" spans="3:8" ht="12.75">
      <c r="C832" s="220">
        <v>305660</v>
      </c>
      <c r="D832" s="164" t="s">
        <v>1904</v>
      </c>
      <c r="G832" s="194">
        <v>0</v>
      </c>
      <c r="H832" s="194">
        <v>0</v>
      </c>
    </row>
    <row r="833" spans="3:8" ht="12.75">
      <c r="C833" s="220">
        <v>305350</v>
      </c>
      <c r="D833" s="164" t="s">
        <v>1905</v>
      </c>
      <c r="G833" s="194">
        <f>G1778*0.001</f>
        <v>4733824.66677</v>
      </c>
      <c r="H833" s="194">
        <f>H1778*0.001</f>
        <v>3437285.7010999997</v>
      </c>
    </row>
    <row r="834" spans="3:8" ht="12.75">
      <c r="C834" s="220">
        <v>305750</v>
      </c>
      <c r="D834" s="164" t="s">
        <v>1906</v>
      </c>
      <c r="G834" s="194">
        <v>0</v>
      </c>
      <c r="H834" s="194">
        <v>0</v>
      </c>
    </row>
    <row r="835" spans="3:8" ht="12.75">
      <c r="C835" s="220">
        <v>305999</v>
      </c>
      <c r="D835" s="236" t="s">
        <v>1907</v>
      </c>
      <c r="E835" s="236"/>
      <c r="F835" s="236"/>
      <c r="G835" s="237">
        <f>SUM(G828:G834)</f>
        <v>8804771.700199999</v>
      </c>
      <c r="H835" s="237">
        <f>SUM(H828:H834)</f>
        <v>6632078.05583</v>
      </c>
    </row>
    <row r="836" spans="3:8" ht="12.75">
      <c r="C836" s="220"/>
      <c r="G836" s="194"/>
      <c r="H836" s="194"/>
    </row>
    <row r="837" spans="3:8" ht="12.75">
      <c r="C837" s="220"/>
      <c r="D837" s="236" t="s">
        <v>1908</v>
      </c>
      <c r="G837" s="194"/>
      <c r="H837" s="194"/>
    </row>
    <row r="838" spans="3:8" ht="12.75">
      <c r="C838" s="220">
        <v>306450</v>
      </c>
      <c r="D838" s="164" t="s">
        <v>1503</v>
      </c>
      <c r="G838" s="194">
        <f>G1805*0.001</f>
        <v>141728.81846</v>
      </c>
      <c r="H838" s="194">
        <f>H1805*0.001</f>
        <v>87112.66616000001</v>
      </c>
    </row>
    <row r="839" spans="3:8" ht="12.75">
      <c r="C839" s="220">
        <v>306520</v>
      </c>
      <c r="D839" s="164" t="s">
        <v>1504</v>
      </c>
      <c r="G839" s="194">
        <v>0</v>
      </c>
      <c r="H839" s="194">
        <v>0</v>
      </c>
    </row>
    <row r="840" spans="3:8" ht="12.75">
      <c r="C840" s="220">
        <v>306530</v>
      </c>
      <c r="D840" s="164" t="s">
        <v>1505</v>
      </c>
      <c r="G840" s="194">
        <f>G1811*0.001</f>
        <v>0</v>
      </c>
      <c r="H840" s="194">
        <f>H1811*0.001</f>
        <v>0</v>
      </c>
    </row>
    <row r="841" spans="3:8" ht="12.75">
      <c r="C841" s="220">
        <v>306540</v>
      </c>
      <c r="D841" s="164" t="s">
        <v>1506</v>
      </c>
      <c r="G841" s="194">
        <v>0</v>
      </c>
      <c r="H841" s="194">
        <v>0</v>
      </c>
    </row>
    <row r="842" spans="3:8" ht="12.75">
      <c r="C842" s="220">
        <v>306580</v>
      </c>
      <c r="D842" s="164" t="s">
        <v>1507</v>
      </c>
      <c r="G842" s="194">
        <f>G1819*0.001</f>
        <v>646719.398</v>
      </c>
      <c r="H842" s="194">
        <f>H1819*0.001</f>
        <v>527190.482</v>
      </c>
    </row>
    <row r="843" spans="3:8" ht="12.75">
      <c r="C843" s="220">
        <v>306710</v>
      </c>
      <c r="D843" s="164" t="s">
        <v>1508</v>
      </c>
      <c r="G843" s="194">
        <f>G1825*0.001</f>
        <v>50267.722420000006</v>
      </c>
      <c r="H843" s="194">
        <f>H1825*0.001</f>
        <v>238775.127</v>
      </c>
    </row>
    <row r="844" spans="3:8" ht="12.75">
      <c r="C844" s="220">
        <v>306170</v>
      </c>
      <c r="D844" s="164" t="s">
        <v>1509</v>
      </c>
      <c r="G844" s="194">
        <v>0</v>
      </c>
      <c r="H844" s="194">
        <v>0</v>
      </c>
    </row>
    <row r="845" spans="3:8" ht="12.75">
      <c r="C845" s="220">
        <v>306750</v>
      </c>
      <c r="D845" s="164" t="s">
        <v>1510</v>
      </c>
      <c r="G845" s="194">
        <f>G1842*0.001</f>
        <v>75006.03574</v>
      </c>
      <c r="H845" s="194">
        <f>H1842*0.001</f>
        <v>41061.759210000004</v>
      </c>
    </row>
    <row r="846" spans="3:8" ht="12.75">
      <c r="C846" s="220">
        <v>306999</v>
      </c>
      <c r="D846" s="236" t="s">
        <v>1511</v>
      </c>
      <c r="E846" s="236"/>
      <c r="F846" s="236"/>
      <c r="G846" s="237">
        <f>SUM(G838:G845)</f>
        <v>913721.97462</v>
      </c>
      <c r="H846" s="237">
        <f>SUM(H838:H845)</f>
        <v>894140.03437</v>
      </c>
    </row>
    <row r="847" spans="3:8" ht="12.75">
      <c r="C847" s="220"/>
      <c r="G847" s="194"/>
      <c r="H847" s="194"/>
    </row>
    <row r="848" spans="3:8" ht="12.75">
      <c r="C848" s="220"/>
      <c r="D848" s="236" t="s">
        <v>1512</v>
      </c>
      <c r="G848" s="194"/>
      <c r="H848" s="194"/>
    </row>
    <row r="849" spans="3:8" ht="12.75">
      <c r="C849" s="220">
        <v>307340</v>
      </c>
      <c r="D849" s="164" t="s">
        <v>1513</v>
      </c>
      <c r="G849" s="194">
        <f>G1852*0.001</f>
        <v>128494.77245</v>
      </c>
      <c r="H849" s="194">
        <f>H1852*0.001</f>
        <v>94201.39266</v>
      </c>
    </row>
    <row r="850" spans="3:8" ht="12.75">
      <c r="C850" s="220">
        <v>307450</v>
      </c>
      <c r="D850" s="164" t="s">
        <v>340</v>
      </c>
      <c r="G850" s="194">
        <f>G1940*0.001</f>
        <v>1443000.4152700002</v>
      </c>
      <c r="H850" s="194">
        <f>H1940*0.001</f>
        <v>2073274.9913899994</v>
      </c>
    </row>
    <row r="851" spans="3:8" ht="12.75">
      <c r="C851" s="220">
        <v>307500</v>
      </c>
      <c r="D851" s="164" t="s">
        <v>341</v>
      </c>
      <c r="G851" s="194">
        <f>G1944*0.001</f>
        <v>381364.25800000003</v>
      </c>
      <c r="H851" s="194">
        <f>H1944*0.001</f>
        <v>242655.115</v>
      </c>
    </row>
    <row r="852" spans="3:8" ht="12.75">
      <c r="C852" s="220">
        <v>307510</v>
      </c>
      <c r="D852" s="164" t="s">
        <v>342</v>
      </c>
      <c r="G852" s="194">
        <f>G1949*0.001</f>
        <v>82725.164</v>
      </c>
      <c r="H852" s="194">
        <f>H1949*0.001</f>
        <v>75701.43567</v>
      </c>
    </row>
    <row r="853" spans="3:8" ht="12.75">
      <c r="C853" s="220">
        <v>307520</v>
      </c>
      <c r="D853" s="164" t="s">
        <v>343</v>
      </c>
      <c r="G853" s="194">
        <f>G1961*0.001</f>
        <v>414160.03091</v>
      </c>
      <c r="H853" s="194">
        <f>H1961*0.001</f>
        <v>371600.03920999996</v>
      </c>
    </row>
    <row r="854" spans="3:8" ht="12.75">
      <c r="C854" s="220">
        <v>307530</v>
      </c>
      <c r="D854" s="164" t="s">
        <v>344</v>
      </c>
      <c r="G854" s="194">
        <f>G1969*0.001</f>
        <v>364304.04702999996</v>
      </c>
      <c r="H854" s="194">
        <f>H1969*0.001</f>
        <v>392778.07552</v>
      </c>
    </row>
    <row r="855" spans="3:8" ht="12.75">
      <c r="C855" s="220">
        <v>307540</v>
      </c>
      <c r="D855" s="164" t="s">
        <v>345</v>
      </c>
      <c r="G855" s="194">
        <f>G2008*0.001</f>
        <v>289650.35313</v>
      </c>
      <c r="H855" s="194">
        <f>H2008*0.001</f>
        <v>178362.16346</v>
      </c>
    </row>
    <row r="856" spans="3:8" ht="12.75">
      <c r="C856" s="220">
        <v>307550</v>
      </c>
      <c r="D856" s="164" t="s">
        <v>346</v>
      </c>
      <c r="G856" s="194">
        <f>G2013*0.001</f>
        <v>1757911.814</v>
      </c>
      <c r="H856" s="194">
        <f>H2013*0.001</f>
        <v>1952213.4070000001</v>
      </c>
    </row>
    <row r="857" spans="3:8" ht="12.75">
      <c r="C857" s="220">
        <v>307750</v>
      </c>
      <c r="D857" s="164" t="s">
        <v>347</v>
      </c>
      <c r="G857" s="194">
        <f>G2047*0.001</f>
        <v>1370153.02987</v>
      </c>
      <c r="H857" s="194">
        <f>H2047*0.001</f>
        <v>1291527.36534</v>
      </c>
    </row>
    <row r="858" spans="3:8" ht="12.75">
      <c r="C858" s="220">
        <v>307999</v>
      </c>
      <c r="D858" s="236" t="s">
        <v>348</v>
      </c>
      <c r="E858" s="236"/>
      <c r="F858" s="236"/>
      <c r="G858" s="237">
        <f>SUM(G849:G857)</f>
        <v>6231763.88466</v>
      </c>
      <c r="H858" s="237">
        <f>SUM(H849:H857)</f>
        <v>6672313.98525</v>
      </c>
    </row>
    <row r="859" spans="3:8" ht="12.75">
      <c r="C859" s="220">
        <v>308999</v>
      </c>
      <c r="D859" s="225" t="s">
        <v>349</v>
      </c>
      <c r="E859" s="225"/>
      <c r="F859" s="225"/>
      <c r="G859" s="226">
        <f>G835+G846+G858</f>
        <v>15950257.559479998</v>
      </c>
      <c r="H859" s="226">
        <f>H835+H846+H858</f>
        <v>14198532.07545</v>
      </c>
    </row>
    <row r="860" spans="3:8" ht="12.75">
      <c r="C860" s="220"/>
      <c r="G860" s="194"/>
      <c r="H860" s="194"/>
    </row>
    <row r="861" spans="3:8" ht="12.75">
      <c r="C861" s="220"/>
      <c r="D861" s="236" t="s">
        <v>431</v>
      </c>
      <c r="G861" s="194"/>
      <c r="H861" s="194"/>
    </row>
    <row r="862" spans="3:8" ht="12.75">
      <c r="C862" s="220">
        <v>309150</v>
      </c>
      <c r="D862" s="164" t="s">
        <v>350</v>
      </c>
      <c r="G862" s="194">
        <v>0</v>
      </c>
      <c r="H862" s="194">
        <v>0</v>
      </c>
    </row>
    <row r="863" spans="3:8" ht="12.75">
      <c r="C863" s="220">
        <v>309160</v>
      </c>
      <c r="D863" s="164" t="s">
        <v>351</v>
      </c>
      <c r="G863" s="194">
        <f>G2054*0.001</f>
        <v>15641.960000000001</v>
      </c>
      <c r="H863" s="194">
        <f>H2054*0.001</f>
        <v>27055.027000000002</v>
      </c>
    </row>
    <row r="864" spans="3:8" ht="12.75">
      <c r="C864" s="220">
        <v>309190</v>
      </c>
      <c r="D864" s="164" t="s">
        <v>352</v>
      </c>
      <c r="G864" s="194">
        <f>G2058*0.001</f>
        <v>9328.449</v>
      </c>
      <c r="H864" s="194">
        <f>H2058*0.001</f>
        <v>23166.547000000002</v>
      </c>
    </row>
    <row r="865" spans="3:8" ht="12.75">
      <c r="C865" s="220">
        <v>309240</v>
      </c>
      <c r="D865" s="164" t="s">
        <v>353</v>
      </c>
      <c r="G865" s="194">
        <f>H568*0.001</f>
        <v>36917.700000000004</v>
      </c>
      <c r="H865" s="194">
        <v>0</v>
      </c>
    </row>
    <row r="866" spans="3:8" ht="12.75">
      <c r="C866" s="220">
        <v>309260</v>
      </c>
      <c r="D866" s="164" t="s">
        <v>354</v>
      </c>
      <c r="G866" s="194">
        <f>G2064*0.001</f>
        <v>99491.61600000001</v>
      </c>
      <c r="H866" s="194">
        <f>H2064*0.001</f>
        <v>968885.11</v>
      </c>
    </row>
    <row r="867" spans="3:8" ht="12.75">
      <c r="C867" s="220">
        <v>309680</v>
      </c>
      <c r="D867" s="164" t="s">
        <v>355</v>
      </c>
      <c r="G867" s="194">
        <f>-G153*0.001</f>
        <v>0</v>
      </c>
      <c r="H867" s="194">
        <v>-905</v>
      </c>
    </row>
    <row r="868" spans="3:8" ht="12.75">
      <c r="C868" s="220">
        <v>309720</v>
      </c>
      <c r="D868" s="164" t="s">
        <v>356</v>
      </c>
      <c r="G868" s="194">
        <f>-G2073*0.001</f>
        <v>-617862.64324</v>
      </c>
      <c r="H868" s="194">
        <f>-H2073*0.001</f>
        <v>-28762.626</v>
      </c>
    </row>
    <row r="869" spans="3:8" ht="12.75">
      <c r="C869" s="220">
        <v>309730</v>
      </c>
      <c r="D869" s="164" t="s">
        <v>357</v>
      </c>
      <c r="G869" s="194">
        <f>-G2079*0.001</f>
        <v>-283435.658</v>
      </c>
      <c r="H869" s="194">
        <f>-H2079*0.001</f>
        <v>-240221.813</v>
      </c>
    </row>
    <row r="870" spans="3:8" ht="12.75">
      <c r="C870" s="220">
        <v>309750</v>
      </c>
      <c r="D870" s="164" t="s">
        <v>358</v>
      </c>
      <c r="G870" s="194">
        <f>-G571*0.001</f>
        <v>0</v>
      </c>
      <c r="H870" s="194">
        <v>-212576</v>
      </c>
    </row>
    <row r="871" spans="3:8" ht="12.75">
      <c r="C871" s="220">
        <v>309999</v>
      </c>
      <c r="D871" s="225" t="s">
        <v>1368</v>
      </c>
      <c r="E871" s="225"/>
      <c r="F871" s="225"/>
      <c r="G871" s="226">
        <f>SUM(G862:G870)</f>
        <v>-739918.5762400001</v>
      </c>
      <c r="H871" s="226">
        <f>SUM(H862:H870)</f>
        <v>536641.245</v>
      </c>
    </row>
    <row r="872" spans="3:8" ht="12.75">
      <c r="C872" s="220"/>
      <c r="G872" s="194"/>
      <c r="H872" s="194"/>
    </row>
    <row r="873" spans="3:8" ht="12.75">
      <c r="C873" s="220">
        <v>310999</v>
      </c>
      <c r="D873" s="225" t="s">
        <v>1369</v>
      </c>
      <c r="E873" s="225"/>
      <c r="F873" s="225"/>
      <c r="G873" s="226">
        <f>G823-G859+G871</f>
        <v>35125817.17405</v>
      </c>
      <c r="H873" s="226">
        <f>H823-H859+H871</f>
        <v>26160676.767550007</v>
      </c>
    </row>
    <row r="874" spans="3:8" ht="12.75">
      <c r="C874" s="220"/>
      <c r="G874" s="194"/>
      <c r="H874" s="194"/>
    </row>
    <row r="875" spans="3:8" ht="12.75">
      <c r="C875" s="220"/>
      <c r="D875" s="236" t="s">
        <v>1370</v>
      </c>
      <c r="G875" s="194"/>
      <c r="H875" s="194"/>
    </row>
    <row r="876" spans="3:8" ht="12.75">
      <c r="C876" s="220">
        <v>311810</v>
      </c>
      <c r="D876" s="164" t="s">
        <v>1371</v>
      </c>
      <c r="G876" s="194">
        <v>0</v>
      </c>
      <c r="H876" s="194">
        <v>0</v>
      </c>
    </row>
    <row r="877" spans="3:8" ht="12.75">
      <c r="C877" s="220">
        <v>311820</v>
      </c>
      <c r="D877" s="164" t="s">
        <v>1372</v>
      </c>
      <c r="G877" s="194">
        <f>G2090*0.001</f>
        <v>52074.177</v>
      </c>
      <c r="H877" s="194">
        <f>H2090*0.001</f>
        <v>28430.861</v>
      </c>
    </row>
    <row r="878" spans="3:8" ht="12.75">
      <c r="C878" s="220">
        <v>311850</v>
      </c>
      <c r="D878" s="164" t="s">
        <v>1373</v>
      </c>
      <c r="G878" s="194">
        <f>(G2092-G2090)*0.001</f>
        <v>5016051.553</v>
      </c>
      <c r="H878" s="194">
        <f>(H2092-H2090)*0.001</f>
        <v>2553110.3850000002</v>
      </c>
    </row>
    <row r="879" spans="3:8" ht="12.75">
      <c r="C879" s="220">
        <v>311999</v>
      </c>
      <c r="D879" s="225" t="s">
        <v>1374</v>
      </c>
      <c r="E879" s="225"/>
      <c r="F879" s="225"/>
      <c r="G879" s="226">
        <f>SUM(G876:G878)</f>
        <v>5068125.73</v>
      </c>
      <c r="H879" s="226">
        <f>SUM(H876:H878)</f>
        <v>2581541.2460000003</v>
      </c>
    </row>
    <row r="880" spans="3:8" ht="12.75">
      <c r="C880" s="220"/>
      <c r="G880" s="194"/>
      <c r="H880" s="194"/>
    </row>
    <row r="881" spans="3:8" ht="12.75">
      <c r="C881" s="220">
        <v>312999</v>
      </c>
      <c r="D881" s="225" t="s">
        <v>1375</v>
      </c>
      <c r="E881" s="225"/>
      <c r="F881" s="225"/>
      <c r="G881" s="226">
        <f>G873-G879</f>
        <v>30057691.444050003</v>
      </c>
      <c r="H881" s="226">
        <f>H873-H879</f>
        <v>23579135.521550007</v>
      </c>
    </row>
    <row r="882" spans="3:8" ht="12.75">
      <c r="C882" s="220"/>
      <c r="G882" s="194"/>
      <c r="H882" s="194"/>
    </row>
    <row r="883" spans="3:8" ht="12.75">
      <c r="C883" s="220">
        <v>313740</v>
      </c>
      <c r="D883" s="164" t="s">
        <v>1376</v>
      </c>
      <c r="G883" s="194">
        <f>G566*0.001</f>
        <v>4105854.807</v>
      </c>
      <c r="H883" s="194">
        <v>0</v>
      </c>
    </row>
    <row r="884" spans="3:8" ht="12.75">
      <c r="C884" s="220"/>
      <c r="G884" s="194"/>
      <c r="H884" s="194"/>
    </row>
    <row r="885" spans="3:8" ht="12.75">
      <c r="C885" s="220">
        <v>365000</v>
      </c>
      <c r="D885" s="225" t="s">
        <v>1377</v>
      </c>
      <c r="E885" s="225"/>
      <c r="F885" s="225"/>
      <c r="G885" s="226">
        <f>G881-G883</f>
        <v>25951836.637050003</v>
      </c>
      <c r="H885" s="226">
        <f>H881-H883</f>
        <v>23579135.521550007</v>
      </c>
    </row>
    <row r="886" spans="3:8" ht="12.75">
      <c r="C886" s="220"/>
      <c r="D886" s="225"/>
      <c r="E886" s="225"/>
      <c r="F886" s="225"/>
      <c r="G886" s="226"/>
      <c r="H886" s="226"/>
    </row>
    <row r="887" spans="3:8" ht="12.75">
      <c r="C887" s="220">
        <v>368600</v>
      </c>
      <c r="D887" s="164" t="s">
        <v>1378</v>
      </c>
      <c r="G887" s="194"/>
      <c r="H887" s="194"/>
    </row>
    <row r="888" spans="3:8" ht="12.75">
      <c r="C888" s="220">
        <v>368900</v>
      </c>
      <c r="D888" s="164" t="s">
        <v>1379</v>
      </c>
      <c r="G888" s="194">
        <f>-G2098*0.001</f>
        <v>-290721.183</v>
      </c>
      <c r="H888" s="194">
        <f>-H2098*0.001</f>
        <v>-895.017</v>
      </c>
    </row>
    <row r="889" spans="3:8" ht="12.75">
      <c r="C889" s="220">
        <v>369000</v>
      </c>
      <c r="D889" s="222" t="s">
        <v>1380</v>
      </c>
      <c r="E889" s="225"/>
      <c r="F889" s="225"/>
      <c r="G889" s="226">
        <f>SUM(G887:G888)</f>
        <v>-290721.183</v>
      </c>
      <c r="H889" s="226">
        <f>SUM(H887:H888)</f>
        <v>-895.017</v>
      </c>
    </row>
    <row r="890" spans="3:8" ht="12.75">
      <c r="C890" s="220"/>
      <c r="G890" s="194"/>
      <c r="H890" s="194"/>
    </row>
    <row r="891" spans="3:8" ht="12.75">
      <c r="C891" s="220">
        <v>372200</v>
      </c>
      <c r="D891" s="164" t="s">
        <v>1381</v>
      </c>
      <c r="G891" s="194">
        <f>G2105*0.001</f>
        <v>86366.46592</v>
      </c>
      <c r="H891" s="194">
        <f>H2105*0.001</f>
        <v>558347.3979099999</v>
      </c>
    </row>
    <row r="892" spans="3:8" ht="12.75">
      <c r="C892" s="220">
        <v>372600</v>
      </c>
      <c r="D892" s="164" t="s">
        <v>432</v>
      </c>
      <c r="G892" s="194">
        <f>G2112*0.001</f>
        <v>264191.59</v>
      </c>
      <c r="H892" s="194">
        <f>H2112*0.001</f>
        <v>341345.706</v>
      </c>
    </row>
    <row r="893" spans="3:8" ht="12.75">
      <c r="C893" s="220">
        <v>372900</v>
      </c>
      <c r="D893" s="164" t="s">
        <v>1382</v>
      </c>
      <c r="G893" s="194">
        <f>G2118*0.001</f>
        <v>258908.097</v>
      </c>
      <c r="H893" s="194">
        <f>H2118*0.001</f>
        <v>270176.455</v>
      </c>
    </row>
    <row r="894" spans="3:8" ht="12.75">
      <c r="C894" s="220">
        <v>373000</v>
      </c>
      <c r="D894" s="222" t="s">
        <v>367</v>
      </c>
      <c r="E894" s="222"/>
      <c r="F894" s="222"/>
      <c r="G894" s="223">
        <f>SUM(G891:G893)</f>
        <v>609466.15292</v>
      </c>
      <c r="H894" s="223">
        <f>SUM(H891:H893)</f>
        <v>1169869.55891</v>
      </c>
    </row>
    <row r="895" spans="3:8" ht="12.75">
      <c r="C895" s="220"/>
      <c r="D895" s="225" t="s">
        <v>368</v>
      </c>
      <c r="E895" s="225"/>
      <c r="F895" s="225"/>
      <c r="G895" s="226">
        <f>G889+G894</f>
        <v>318744.96992</v>
      </c>
      <c r="H895" s="226">
        <f>H889+H894</f>
        <v>1168974.54191</v>
      </c>
    </row>
    <row r="896" spans="3:8" ht="12.75">
      <c r="C896" s="220"/>
      <c r="G896" s="194"/>
      <c r="H896" s="194"/>
    </row>
    <row r="897" spans="3:8" ht="12.75">
      <c r="C897" s="220">
        <v>385000</v>
      </c>
      <c r="D897" s="225" t="s">
        <v>369</v>
      </c>
      <c r="E897" s="225"/>
      <c r="F897" s="225"/>
      <c r="G897" s="226">
        <f>G885-G895</f>
        <v>25633091.667130005</v>
      </c>
      <c r="H897" s="226">
        <f>H885-H895</f>
        <v>22410160.979640007</v>
      </c>
    </row>
    <row r="898" spans="3:8" ht="12.75">
      <c r="C898" s="220"/>
      <c r="G898" s="194"/>
      <c r="H898" s="194"/>
    </row>
    <row r="899" spans="3:8" ht="12.75">
      <c r="C899" s="220">
        <v>386200</v>
      </c>
      <c r="D899" s="164" t="s">
        <v>522</v>
      </c>
      <c r="G899" s="194">
        <f>(G631)*0.001</f>
        <v>9661782.846</v>
      </c>
      <c r="H899" s="194">
        <v>4816915</v>
      </c>
    </row>
    <row r="900" spans="3:8" ht="12.75">
      <c r="C900" s="220">
        <v>386400</v>
      </c>
      <c r="D900" s="164" t="s">
        <v>523</v>
      </c>
      <c r="G900" s="194">
        <f>(G631*0.001)-G899</f>
        <v>0</v>
      </c>
      <c r="H900" s="194">
        <v>73437</v>
      </c>
    </row>
    <row r="901" spans="3:8" ht="12.75">
      <c r="C901" s="220">
        <v>388000</v>
      </c>
      <c r="D901" s="164" t="s">
        <v>524</v>
      </c>
      <c r="G901" s="194">
        <f>G632*0.001</f>
        <v>0</v>
      </c>
      <c r="H901" s="194">
        <v>1891422</v>
      </c>
    </row>
    <row r="902" spans="3:8" ht="12.75">
      <c r="C902" s="220">
        <v>389000</v>
      </c>
      <c r="D902" s="225" t="s">
        <v>525</v>
      </c>
      <c r="E902" s="225"/>
      <c r="F902" s="225"/>
      <c r="G902" s="226">
        <f>SUM(G899:G901)</f>
        <v>9661782.846</v>
      </c>
      <c r="H902" s="226">
        <f>SUM(H899:H901)</f>
        <v>6781774</v>
      </c>
    </row>
    <row r="903" spans="3:8" ht="12.75">
      <c r="C903" s="220"/>
      <c r="G903" s="194"/>
      <c r="H903" s="194"/>
    </row>
    <row r="904" spans="3:8" ht="17.25">
      <c r="C904" s="220">
        <v>390000</v>
      </c>
      <c r="D904" s="238" t="s">
        <v>526</v>
      </c>
      <c r="E904" s="238"/>
      <c r="F904" s="238"/>
      <c r="G904" s="239">
        <f>G897-G902</f>
        <v>15971308.821130004</v>
      </c>
      <c r="H904" s="239">
        <f>H897-H902</f>
        <v>15628386.979640007</v>
      </c>
    </row>
    <row r="905" spans="7:8" ht="12.75">
      <c r="G905" s="194"/>
      <c r="H905" s="194"/>
    </row>
    <row r="906" spans="1:8" ht="12.75">
      <c r="A906" s="211"/>
      <c r="B906" s="211"/>
      <c r="C906" s="211"/>
      <c r="D906" s="211" t="s">
        <v>1966</v>
      </c>
      <c r="E906" s="211"/>
      <c r="F906" s="211"/>
      <c r="G906" s="240">
        <f>(G904/179923100)*1000</f>
        <v>88.76741686381573</v>
      </c>
      <c r="H906" s="240">
        <f>(H904/179923100)*1000</f>
        <v>86.86148126416234</v>
      </c>
    </row>
    <row r="907" spans="1:8" ht="12.75">
      <c r="A907" s="211"/>
      <c r="B907" s="211"/>
      <c r="C907" s="211"/>
      <c r="D907" s="211"/>
      <c r="E907" s="211"/>
      <c r="F907" s="211"/>
      <c r="G907" s="212"/>
      <c r="H907" s="212"/>
    </row>
    <row r="908" spans="1:8" ht="12.75">
      <c r="A908" s="211"/>
      <c r="B908" s="211"/>
      <c r="C908" s="211" t="s">
        <v>1175</v>
      </c>
      <c r="D908" s="211"/>
      <c r="E908" s="211"/>
      <c r="F908" s="211"/>
      <c r="G908" s="212"/>
      <c r="H908" s="212"/>
    </row>
    <row r="909" spans="1:8" ht="12.75">
      <c r="A909" s="211"/>
      <c r="B909" s="211"/>
      <c r="C909" s="211"/>
      <c r="D909" s="211"/>
      <c r="E909" s="211"/>
      <c r="F909" s="211"/>
      <c r="G909" s="212"/>
      <c r="H909" s="212"/>
    </row>
    <row r="910" spans="1:8" ht="12.75">
      <c r="A910" s="211"/>
      <c r="B910" s="211"/>
      <c r="C910" s="211"/>
      <c r="D910" s="211"/>
      <c r="E910" s="211"/>
      <c r="F910" s="211"/>
      <c r="G910" s="212"/>
      <c r="H910" s="212"/>
    </row>
    <row r="911" spans="1:8" ht="12.75">
      <c r="A911" s="241"/>
      <c r="B911" s="166"/>
      <c r="C911" s="242"/>
      <c r="D911" s="166"/>
      <c r="E911" s="241"/>
      <c r="F911" s="241"/>
      <c r="G911" s="241"/>
      <c r="H911" s="241"/>
    </row>
    <row r="912" spans="2:4" ht="15">
      <c r="B912" s="169"/>
      <c r="C912" s="243" t="s">
        <v>1759</v>
      </c>
      <c r="D912" s="244"/>
    </row>
    <row r="913" spans="2:4" ht="12.75">
      <c r="B913" s="166"/>
      <c r="C913" s="245"/>
      <c r="D913" s="244"/>
    </row>
    <row r="914" spans="2:4" ht="12.75">
      <c r="B914" s="166"/>
      <c r="C914" s="245"/>
      <c r="D914" s="244"/>
    </row>
    <row r="915" spans="2:4" ht="15">
      <c r="B915" s="246"/>
      <c r="C915" s="247" t="s">
        <v>1177</v>
      </c>
      <c r="D915" s="244"/>
    </row>
    <row r="916" spans="2:4" ht="12.75">
      <c r="B916" s="166"/>
      <c r="C916" s="245"/>
      <c r="D916" s="244"/>
    </row>
    <row r="917" spans="2:4" ht="12.75">
      <c r="B917" s="166"/>
      <c r="C917" s="245"/>
      <c r="D917" s="244"/>
    </row>
    <row r="918" spans="2:8" ht="12.75">
      <c r="B918" s="166"/>
      <c r="C918" s="245"/>
      <c r="D918" s="244"/>
      <c r="G918" s="248">
        <v>2006</v>
      </c>
      <c r="H918" s="248">
        <v>2005</v>
      </c>
    </row>
    <row r="919" spans="2:8" ht="12.75">
      <c r="B919" s="166"/>
      <c r="C919" s="245"/>
      <c r="D919" s="244"/>
      <c r="G919" s="248" t="s">
        <v>528</v>
      </c>
      <c r="H919" s="248" t="s">
        <v>528</v>
      </c>
    </row>
    <row r="920" spans="2:4" ht="12.75">
      <c r="B920" s="249"/>
      <c r="C920" s="250" t="s">
        <v>1760</v>
      </c>
      <c r="D920" s="244"/>
    </row>
    <row r="921" spans="2:8" ht="12.75">
      <c r="B921" s="166"/>
      <c r="C921" s="245" t="s">
        <v>529</v>
      </c>
      <c r="D921" s="244"/>
      <c r="G921" s="194">
        <f>G897</f>
        <v>25633091.667130005</v>
      </c>
      <c r="H921" s="194">
        <f>H897</f>
        <v>22410160.979640007</v>
      </c>
    </row>
    <row r="922" spans="2:8" ht="12.75">
      <c r="B922" s="166"/>
      <c r="C922" s="245"/>
      <c r="D922" s="244"/>
      <c r="G922" s="194"/>
      <c r="H922" s="194"/>
    </row>
    <row r="923" spans="2:8" ht="12.75">
      <c r="B923" s="249"/>
      <c r="C923" s="250" t="s">
        <v>1761</v>
      </c>
      <c r="D923" s="244"/>
      <c r="G923" s="194"/>
      <c r="H923" s="194"/>
    </row>
    <row r="924" spans="2:8" ht="12.75">
      <c r="B924" s="166"/>
      <c r="C924" s="245" t="s">
        <v>1762</v>
      </c>
      <c r="D924" s="244"/>
      <c r="G924" s="194">
        <f>G879</f>
        <v>5068125.73</v>
      </c>
      <c r="H924" s="194">
        <v>2576100</v>
      </c>
    </row>
    <row r="925" spans="2:8" ht="12.75">
      <c r="B925" s="166"/>
      <c r="C925" s="245" t="s">
        <v>1178</v>
      </c>
      <c r="D925" s="244"/>
      <c r="G925" s="194"/>
      <c r="H925" s="194">
        <v>5440</v>
      </c>
    </row>
    <row r="926" spans="2:8" ht="12.75">
      <c r="B926" s="166"/>
      <c r="C926" s="245" t="s">
        <v>531</v>
      </c>
      <c r="D926" s="244"/>
      <c r="G926" s="194">
        <f>-(G864+G867)</f>
        <v>-9328.449</v>
      </c>
      <c r="H926" s="194">
        <v>-22260</v>
      </c>
    </row>
    <row r="927" spans="2:8" ht="15">
      <c r="B927" s="166"/>
      <c r="C927" s="245" t="s">
        <v>969</v>
      </c>
      <c r="D927" s="244"/>
      <c r="G927" s="251">
        <f>G891+G893</f>
        <v>345274.56292</v>
      </c>
      <c r="H927" s="251">
        <f>H891+H893</f>
        <v>828523.8529099999</v>
      </c>
    </row>
    <row r="928" spans="2:8" ht="12.75">
      <c r="B928" s="166"/>
      <c r="D928" s="244"/>
      <c r="G928" s="194"/>
      <c r="H928" s="194"/>
    </row>
    <row r="929" spans="2:8" ht="12.75">
      <c r="B929" s="249"/>
      <c r="C929" s="250" t="s">
        <v>532</v>
      </c>
      <c r="D929" s="244"/>
      <c r="G929" s="226">
        <f>SUM(G921:G928)</f>
        <v>31037163.511050005</v>
      </c>
      <c r="H929" s="226">
        <f>SUM(H921:H928)</f>
        <v>25797964.832550008</v>
      </c>
    </row>
    <row r="930" spans="2:8" ht="12.75">
      <c r="B930" s="166"/>
      <c r="C930" s="245"/>
      <c r="D930" s="244"/>
      <c r="G930" s="194"/>
      <c r="H930" s="194"/>
    </row>
    <row r="931" spans="2:8" ht="12.75">
      <c r="B931" s="166"/>
      <c r="C931" s="245"/>
      <c r="D931" s="244"/>
      <c r="G931" s="194"/>
      <c r="H931" s="194"/>
    </row>
    <row r="932" spans="2:8" ht="12.75">
      <c r="B932" s="252"/>
      <c r="C932" s="224" t="s">
        <v>1763</v>
      </c>
      <c r="D932" s="244"/>
      <c r="G932" s="194"/>
      <c r="H932" s="194"/>
    </row>
    <row r="933" spans="2:8" ht="12.75">
      <c r="B933" s="166"/>
      <c r="C933" s="245" t="s">
        <v>533</v>
      </c>
      <c r="D933" s="244"/>
      <c r="G933" s="194">
        <f>H683-G683</f>
        <v>-2076269.1175599992</v>
      </c>
      <c r="H933" s="194">
        <v>-583153</v>
      </c>
    </row>
    <row r="934" spans="2:8" ht="12.75">
      <c r="B934" s="253"/>
      <c r="C934" s="227" t="s">
        <v>534</v>
      </c>
      <c r="D934" s="244"/>
      <c r="G934" s="194">
        <f>H687-G687</f>
        <v>-484006.0946299997</v>
      </c>
      <c r="H934" s="194">
        <v>-14326</v>
      </c>
    </row>
    <row r="935" spans="2:8" ht="12.75">
      <c r="B935" s="253"/>
      <c r="C935" s="227" t="s">
        <v>1764</v>
      </c>
      <c r="D935" s="244"/>
      <c r="G935" s="194">
        <f>H690-G690</f>
        <v>-12994901.548480002</v>
      </c>
      <c r="H935" s="194">
        <v>372202</v>
      </c>
    </row>
    <row r="936" spans="2:8" ht="12.75">
      <c r="B936" s="253"/>
      <c r="C936" s="227" t="s">
        <v>1765</v>
      </c>
      <c r="D936" s="244"/>
      <c r="G936" s="194">
        <f>H676-G676</f>
        <v>34900</v>
      </c>
      <c r="H936" s="194">
        <v>52399</v>
      </c>
    </row>
    <row r="937" spans="2:8" ht="12.75">
      <c r="B937" s="253"/>
      <c r="C937" s="245" t="s">
        <v>1766</v>
      </c>
      <c r="D937" s="244"/>
      <c r="G937" s="194">
        <f>G771-H771</f>
        <v>1277754.56428</v>
      </c>
      <c r="H937" s="194">
        <v>-1893611</v>
      </c>
    </row>
    <row r="938" spans="2:8" ht="12.75">
      <c r="B938" s="253"/>
      <c r="C938" s="245" t="s">
        <v>535</v>
      </c>
      <c r="D938" s="244"/>
      <c r="G938" s="194">
        <f>+G722-H722</f>
        <v>73490.22000000003</v>
      </c>
      <c r="H938" s="194">
        <v>0</v>
      </c>
    </row>
    <row r="939" spans="2:8" ht="12.75">
      <c r="B939" s="166"/>
      <c r="C939" s="245" t="s">
        <v>536</v>
      </c>
      <c r="D939" s="244"/>
      <c r="G939" s="194">
        <f>G747-H747</f>
        <v>0</v>
      </c>
      <c r="H939" s="194">
        <v>0</v>
      </c>
    </row>
    <row r="940" spans="2:8" ht="12.75">
      <c r="B940" s="166"/>
      <c r="C940" s="227" t="s">
        <v>537</v>
      </c>
      <c r="D940" s="244"/>
      <c r="G940" s="194">
        <f>G774-H774</f>
        <v>142392.96899999998</v>
      </c>
      <c r="H940" s="194"/>
    </row>
    <row r="941" spans="2:8" ht="15">
      <c r="B941" s="166"/>
      <c r="C941" s="227" t="s">
        <v>1767</v>
      </c>
      <c r="G941" s="251">
        <f>G773-H773</f>
        <v>-551573.5963699999</v>
      </c>
      <c r="H941" s="251">
        <v>0</v>
      </c>
    </row>
    <row r="942" spans="2:8" ht="12.75">
      <c r="B942" s="253"/>
      <c r="C942" s="227"/>
      <c r="D942" s="244"/>
      <c r="G942" s="194"/>
      <c r="H942" s="194"/>
    </row>
    <row r="943" spans="2:8" ht="12.75">
      <c r="B943" s="166"/>
      <c r="C943" s="224" t="s">
        <v>538</v>
      </c>
      <c r="D943" s="244"/>
      <c r="G943" s="194">
        <f>SUM(G929:G942)</f>
        <v>16458950.907290004</v>
      </c>
      <c r="H943" s="194">
        <f>SUM(H929:H942)</f>
        <v>23731475.832550008</v>
      </c>
    </row>
    <row r="944" spans="2:8" ht="12.75">
      <c r="B944" s="253"/>
      <c r="C944" s="227" t="s">
        <v>968</v>
      </c>
      <c r="D944" s="244"/>
      <c r="G944" s="194">
        <f>-(H761+G891+G893-G761)</f>
        <v>-341287.42592</v>
      </c>
      <c r="H944" s="194">
        <v>-845155</v>
      </c>
    </row>
    <row r="945" spans="2:8" ht="15">
      <c r="B945" s="253"/>
      <c r="C945" s="245" t="s">
        <v>1768</v>
      </c>
      <c r="D945" s="244"/>
      <c r="G945" s="251">
        <f>G1230</f>
        <v>-9845313</v>
      </c>
      <c r="H945" s="194">
        <v>-4401884</v>
      </c>
    </row>
    <row r="946" spans="2:8" ht="12.75">
      <c r="B946" s="252"/>
      <c r="C946" s="245"/>
      <c r="D946" s="244"/>
      <c r="G946" s="194"/>
      <c r="H946" s="194"/>
    </row>
    <row r="947" spans="2:8" ht="12.75">
      <c r="B947" s="252"/>
      <c r="C947" s="224" t="s">
        <v>539</v>
      </c>
      <c r="D947" s="244"/>
      <c r="G947" s="226">
        <f>SUM(G943:G946)</f>
        <v>6272350.481370004</v>
      </c>
      <c r="H947" s="226">
        <f>SUM(H943:H946)</f>
        <v>18484436.832550008</v>
      </c>
    </row>
    <row r="948" spans="2:8" ht="12.75">
      <c r="B948" s="166"/>
      <c r="D948" s="244"/>
      <c r="G948" s="194"/>
      <c r="H948" s="194"/>
    </row>
    <row r="949" spans="2:8" ht="12.75">
      <c r="B949" s="166"/>
      <c r="D949" s="244"/>
      <c r="G949" s="194"/>
      <c r="H949" s="194"/>
    </row>
    <row r="950" spans="2:8" ht="12.75">
      <c r="B950" s="252"/>
      <c r="C950" s="224" t="s">
        <v>1769</v>
      </c>
      <c r="D950" s="244"/>
      <c r="G950" s="194"/>
      <c r="H950" s="194"/>
    </row>
    <row r="951" spans="2:8" ht="12.75">
      <c r="B951" s="166"/>
      <c r="C951" s="245" t="s">
        <v>1770</v>
      </c>
      <c r="D951" s="244"/>
      <c r="G951" s="254">
        <v>9328</v>
      </c>
      <c r="H951" s="254">
        <v>23330</v>
      </c>
    </row>
    <row r="952" spans="2:8" ht="12.75">
      <c r="B952" s="252"/>
      <c r="C952" s="245" t="s">
        <v>540</v>
      </c>
      <c r="D952" s="244"/>
      <c r="G952" s="255">
        <f>-I1034</f>
        <v>-3238876</v>
      </c>
      <c r="H952" s="255">
        <v>-966258</v>
      </c>
    </row>
    <row r="953" spans="2:8" ht="12.75">
      <c r="B953" s="252"/>
      <c r="C953" s="245" t="s">
        <v>1583</v>
      </c>
      <c r="D953" s="244"/>
      <c r="G953" s="255">
        <f>(H2148-G2148)*0.001</f>
        <v>191757.23500000002</v>
      </c>
      <c r="H953" s="255">
        <v>0</v>
      </c>
    </row>
    <row r="954" spans="2:8" ht="12.75">
      <c r="B954" s="252"/>
      <c r="C954" s="227" t="s">
        <v>541</v>
      </c>
      <c r="D954" s="244"/>
      <c r="G954" s="255">
        <f>H651-G651</f>
        <v>-11436.198999999993</v>
      </c>
      <c r="H954" s="255">
        <v>-97477</v>
      </c>
    </row>
    <row r="955" spans="2:8" ht="12.75">
      <c r="B955" s="166"/>
      <c r="C955" s="227" t="s">
        <v>542</v>
      </c>
      <c r="D955" s="244"/>
      <c r="G955" s="256">
        <f>-(J1034-I1034+I1035)</f>
        <v>-2137899</v>
      </c>
      <c r="H955" s="256">
        <v>-2060883</v>
      </c>
    </row>
    <row r="956" spans="2:8" ht="12.75">
      <c r="B956" s="166"/>
      <c r="C956" s="224" t="s">
        <v>543</v>
      </c>
      <c r="D956" s="244"/>
      <c r="G956" s="226">
        <f>SUM(G951:G955)</f>
        <v>-5187125.964</v>
      </c>
      <c r="H956" s="226">
        <f>SUM(H951:H955)</f>
        <v>-3101288</v>
      </c>
    </row>
    <row r="957" spans="2:8" ht="12.75">
      <c r="B957" s="253"/>
      <c r="D957" s="244"/>
      <c r="G957" s="194"/>
      <c r="H957" s="194"/>
    </row>
    <row r="958" spans="2:8" ht="12.75">
      <c r="B958" s="252"/>
      <c r="D958" s="244"/>
      <c r="G958" s="194"/>
      <c r="H958" s="194"/>
    </row>
    <row r="959" spans="2:8" ht="12.75">
      <c r="B959" s="166"/>
      <c r="C959" s="250" t="s">
        <v>1774</v>
      </c>
      <c r="D959" s="244"/>
      <c r="G959" s="194"/>
      <c r="H959" s="194"/>
    </row>
    <row r="960" spans="2:8" ht="12.75">
      <c r="B960" s="249"/>
      <c r="C960" s="227" t="s">
        <v>1894</v>
      </c>
      <c r="D960" s="244"/>
      <c r="G960" s="254">
        <v>-3125000</v>
      </c>
      <c r="H960" s="254">
        <v>-1800098</v>
      </c>
    </row>
    <row r="961" spans="2:8" ht="12.75">
      <c r="B961" s="253"/>
      <c r="C961" s="245" t="s">
        <v>544</v>
      </c>
      <c r="D961" s="244"/>
      <c r="G961" s="255">
        <v>-50364</v>
      </c>
      <c r="H961" s="255">
        <v>-50364</v>
      </c>
    </row>
    <row r="962" spans="2:8" ht="12.75">
      <c r="B962" s="166"/>
      <c r="C962" s="227" t="s">
        <v>545</v>
      </c>
      <c r="D962" s="244"/>
      <c r="G962" s="256">
        <v>0</v>
      </c>
      <c r="H962" s="256">
        <v>0</v>
      </c>
    </row>
    <row r="963" spans="2:8" ht="15">
      <c r="B963" s="253"/>
      <c r="C963" s="224" t="s">
        <v>975</v>
      </c>
      <c r="D963" s="244"/>
      <c r="G963" s="257">
        <f>SUM(G960:G962)</f>
        <v>-3175364</v>
      </c>
      <c r="H963" s="257">
        <f>SUM(H960:H962)</f>
        <v>-1850462</v>
      </c>
    </row>
    <row r="964" spans="2:8" ht="12.75">
      <c r="B964" s="253"/>
      <c r="C964" s="245"/>
      <c r="D964" s="244"/>
      <c r="G964" s="194"/>
      <c r="H964" s="194"/>
    </row>
    <row r="965" spans="2:8" ht="12.75">
      <c r="B965" s="166"/>
      <c r="C965" s="224" t="s">
        <v>976</v>
      </c>
      <c r="D965" s="244"/>
      <c r="G965" s="226">
        <f>G947+G956+G963</f>
        <v>-2090139.4826299958</v>
      </c>
      <c r="H965" s="226">
        <f>H947+H956+H963</f>
        <v>13532686.832550008</v>
      </c>
    </row>
    <row r="966" spans="2:8" ht="15">
      <c r="B966" s="166"/>
      <c r="C966" s="245" t="s">
        <v>1895</v>
      </c>
      <c r="D966" s="244"/>
      <c r="G966" s="251">
        <f>H967</f>
        <v>10239220.832550008</v>
      </c>
      <c r="H966" s="251">
        <v>-3293466</v>
      </c>
    </row>
    <row r="967" spans="2:8" ht="17.25">
      <c r="B967" s="252"/>
      <c r="C967" s="243" t="s">
        <v>949</v>
      </c>
      <c r="D967" s="244"/>
      <c r="G967" s="258">
        <f>SUM(G965:G966)</f>
        <v>8149081.349920012</v>
      </c>
      <c r="H967" s="258">
        <f>SUM(H965:H966)</f>
        <v>10239220.832550008</v>
      </c>
    </row>
    <row r="968" spans="2:8" ht="12.75">
      <c r="B968" s="166"/>
      <c r="D968" s="244"/>
      <c r="G968" s="194"/>
      <c r="H968" s="194"/>
    </row>
    <row r="969" spans="2:8" ht="12.75">
      <c r="B969" s="252"/>
      <c r="C969" s="227" t="s">
        <v>798</v>
      </c>
      <c r="D969" s="228"/>
      <c r="G969" s="194"/>
      <c r="H969" s="194"/>
    </row>
    <row r="970" spans="2:8" ht="12.75">
      <c r="B970" s="166"/>
      <c r="C970" s="227" t="s">
        <v>799</v>
      </c>
      <c r="D970" s="228"/>
      <c r="G970" s="194"/>
      <c r="H970" s="194"/>
    </row>
    <row r="971" spans="2:8" ht="15">
      <c r="B971" s="169"/>
      <c r="C971" s="227"/>
      <c r="D971" s="228"/>
      <c r="G971" s="194"/>
      <c r="H971" s="194"/>
    </row>
    <row r="972" spans="2:8" ht="12.75">
      <c r="B972" s="253"/>
      <c r="C972" s="227" t="s">
        <v>1896</v>
      </c>
      <c r="D972" s="228"/>
      <c r="G972" s="194">
        <f>G695</f>
        <v>8149852.282000001</v>
      </c>
      <c r="H972" s="194">
        <v>10239221</v>
      </c>
    </row>
    <row r="973" spans="2:8" ht="15">
      <c r="B973" s="253"/>
      <c r="C973" s="227" t="s">
        <v>1897</v>
      </c>
      <c r="D973" s="228"/>
      <c r="G973" s="251">
        <v>0</v>
      </c>
      <c r="H973" s="251">
        <v>0</v>
      </c>
    </row>
    <row r="974" spans="2:8" ht="15">
      <c r="B974" s="253"/>
      <c r="C974" s="224" t="s">
        <v>1207</v>
      </c>
      <c r="D974" s="225"/>
      <c r="E974" s="225"/>
      <c r="F974" s="225"/>
      <c r="G974" s="259">
        <f>SUM(G972:G973)</f>
        <v>8149852.282000001</v>
      </c>
      <c r="H974" s="259">
        <f>SUM(H972:H973)</f>
        <v>10239221</v>
      </c>
    </row>
    <row r="975" ht="12.75">
      <c r="B975" s="253"/>
    </row>
    <row r="976" spans="2:7" ht="12.75">
      <c r="B976" s="253"/>
      <c r="G976" s="260"/>
    </row>
    <row r="977" ht="12.75">
      <c r="B977" s="253"/>
    </row>
    <row r="978" ht="12.75">
      <c r="B978" s="253"/>
    </row>
    <row r="979" spans="2:7" ht="12.75">
      <c r="B979" s="253"/>
      <c r="C979" s="227"/>
      <c r="D979" s="228"/>
      <c r="G979" s="164">
        <f>20796200-20795429</f>
        <v>771</v>
      </c>
    </row>
    <row r="980" spans="2:4" ht="12.75">
      <c r="B980" s="252"/>
      <c r="C980" s="224" t="s">
        <v>800</v>
      </c>
      <c r="D980" s="244"/>
    </row>
    <row r="981" spans="2:4" ht="12.75">
      <c r="B981" s="166"/>
      <c r="C981" s="245"/>
      <c r="D981" s="244"/>
    </row>
    <row r="982" spans="2:4" ht="12.75">
      <c r="B982" s="166"/>
      <c r="C982" s="245"/>
      <c r="D982" s="244"/>
    </row>
    <row r="983" spans="2:4" ht="12.75">
      <c r="B983" s="166"/>
      <c r="C983" s="245"/>
      <c r="D983" s="244"/>
    </row>
    <row r="984" spans="2:4" ht="15">
      <c r="B984" s="169"/>
      <c r="C984" s="243" t="s">
        <v>1759</v>
      </c>
      <c r="D984" s="261"/>
    </row>
    <row r="985" spans="2:4" ht="15">
      <c r="B985" s="169"/>
      <c r="C985" s="245"/>
      <c r="D985" s="261"/>
    </row>
    <row r="986" spans="2:4" ht="15">
      <c r="B986" s="169"/>
      <c r="C986" s="245"/>
      <c r="D986" s="261"/>
    </row>
    <row r="987" spans="2:4" ht="15">
      <c r="B987" s="169"/>
      <c r="C987" s="247" t="s">
        <v>801</v>
      </c>
      <c r="D987" s="261"/>
    </row>
    <row r="988" spans="2:4" ht="15">
      <c r="B988" s="169"/>
      <c r="C988" s="247"/>
      <c r="D988" s="261"/>
    </row>
    <row r="989" spans="2:8" ht="15">
      <c r="B989" s="169"/>
      <c r="C989" s="243"/>
      <c r="D989" s="261"/>
      <c r="E989" s="248" t="s">
        <v>802</v>
      </c>
      <c r="F989" s="248" t="s">
        <v>803</v>
      </c>
      <c r="G989" s="248" t="s">
        <v>804</v>
      </c>
      <c r="H989" s="248" t="s">
        <v>1207</v>
      </c>
    </row>
    <row r="990" spans="2:8" ht="15">
      <c r="B990" s="169"/>
      <c r="C990" s="243"/>
      <c r="D990" s="261"/>
      <c r="E990" s="248" t="s">
        <v>966</v>
      </c>
      <c r="F990" s="248" t="s">
        <v>805</v>
      </c>
      <c r="G990" s="248" t="s">
        <v>806</v>
      </c>
      <c r="H990" s="248"/>
    </row>
    <row r="991" spans="2:8" ht="15">
      <c r="B991" s="169"/>
      <c r="C991" s="243"/>
      <c r="D991" s="261"/>
      <c r="E991" s="248"/>
      <c r="F991" s="248"/>
      <c r="G991" s="248" t="s">
        <v>807</v>
      </c>
      <c r="H991" s="248"/>
    </row>
    <row r="992" spans="2:8" ht="15">
      <c r="B992" s="169"/>
      <c r="C992" s="243"/>
      <c r="D992" s="261"/>
      <c r="E992" s="262" t="s">
        <v>1529</v>
      </c>
      <c r="F992" s="262" t="s">
        <v>1529</v>
      </c>
      <c r="G992" s="262" t="s">
        <v>1529</v>
      </c>
      <c r="H992" s="262" t="s">
        <v>1529</v>
      </c>
    </row>
    <row r="993" spans="2:8" ht="15">
      <c r="B993" s="169"/>
      <c r="C993" s="243"/>
      <c r="D993" s="261"/>
      <c r="E993" s="248"/>
      <c r="F993" s="248"/>
      <c r="G993" s="248"/>
      <c r="H993" s="248"/>
    </row>
    <row r="994" spans="2:8" ht="15">
      <c r="B994" s="169"/>
      <c r="C994" s="227" t="s">
        <v>1530</v>
      </c>
      <c r="D994" s="261"/>
      <c r="E994" s="194">
        <v>3598462</v>
      </c>
      <c r="F994" s="194">
        <v>20014393</v>
      </c>
      <c r="G994" s="194">
        <v>482994</v>
      </c>
      <c r="H994" s="194">
        <f>SUM(E994:G994)</f>
        <v>24095849</v>
      </c>
    </row>
    <row r="995" spans="2:8" ht="15">
      <c r="B995" s="169"/>
      <c r="C995" s="227" t="s">
        <v>1531</v>
      </c>
      <c r="D995" s="228"/>
      <c r="E995" s="194">
        <v>0</v>
      </c>
      <c r="F995" s="194">
        <v>-1800000</v>
      </c>
      <c r="G995" s="194">
        <v>0</v>
      </c>
      <c r="H995" s="194">
        <f>SUM(E995:G995)</f>
        <v>-1800000</v>
      </c>
    </row>
    <row r="996" spans="2:8" ht="15">
      <c r="B996" s="169"/>
      <c r="C996" s="227" t="s">
        <v>415</v>
      </c>
      <c r="D996" s="228"/>
      <c r="E996" s="194">
        <v>0</v>
      </c>
      <c r="F996" s="194">
        <f>H904</f>
        <v>15628386.979640007</v>
      </c>
      <c r="G996" s="194">
        <v>0</v>
      </c>
      <c r="H996" s="194">
        <f>SUM(E996:G996)</f>
        <v>15628386.979640007</v>
      </c>
    </row>
    <row r="997" spans="2:8" ht="15">
      <c r="B997" s="169"/>
      <c r="C997" s="227" t="s">
        <v>1532</v>
      </c>
      <c r="D997" s="228"/>
      <c r="E997" s="194"/>
      <c r="F997" s="194"/>
      <c r="G997" s="194"/>
      <c r="H997" s="194">
        <f>SUM(E997:G997)</f>
        <v>0</v>
      </c>
    </row>
    <row r="998" spans="2:8" ht="15">
      <c r="B998" s="169"/>
      <c r="C998" s="227"/>
      <c r="D998" s="228"/>
      <c r="E998" s="194"/>
      <c r="F998" s="194"/>
      <c r="G998" s="194"/>
      <c r="H998" s="194"/>
    </row>
    <row r="999" spans="2:8" ht="15">
      <c r="B999" s="263"/>
      <c r="C999" s="264" t="s">
        <v>1533</v>
      </c>
      <c r="D999" s="261"/>
      <c r="E999" s="226">
        <f>SUM(E994:E997)</f>
        <v>3598462</v>
      </c>
      <c r="F999" s="226">
        <f>SUM(F994:F997)</f>
        <v>33842779.97964001</v>
      </c>
      <c r="G999" s="226">
        <f>SUM(G994:G997)</f>
        <v>482994</v>
      </c>
      <c r="H999" s="226">
        <f>SUM(E999:G999)</f>
        <v>37924235.97964001</v>
      </c>
    </row>
    <row r="1000" spans="2:8" ht="15">
      <c r="B1000" s="263"/>
      <c r="C1000" s="264"/>
      <c r="D1000" s="261"/>
      <c r="E1000" s="226"/>
      <c r="F1000" s="226"/>
      <c r="G1000" s="226"/>
      <c r="H1000" s="226"/>
    </row>
    <row r="1001" spans="2:8" ht="15">
      <c r="B1001" s="263"/>
      <c r="C1001" s="227" t="s">
        <v>950</v>
      </c>
      <c r="D1001" s="261"/>
      <c r="E1001" s="194">
        <f>E999</f>
        <v>3598462</v>
      </c>
      <c r="F1001" s="194">
        <f>F999</f>
        <v>33842779.97964001</v>
      </c>
      <c r="G1001" s="194">
        <f>G999</f>
        <v>482994</v>
      </c>
      <c r="H1001" s="194">
        <f>SUM(E1001:G1001)</f>
        <v>37924235.97964001</v>
      </c>
    </row>
    <row r="1002" spans="2:8" ht="15">
      <c r="B1002" s="263"/>
      <c r="C1002" s="227" t="s">
        <v>1531</v>
      </c>
      <c r="D1002" s="228"/>
      <c r="E1002" s="194">
        <v>0</v>
      </c>
      <c r="F1002" s="194">
        <v>-3125000</v>
      </c>
      <c r="G1002" s="194">
        <v>0</v>
      </c>
      <c r="H1002" s="194">
        <f>SUM(E1002:G1002)</f>
        <v>-3125000</v>
      </c>
    </row>
    <row r="1003" spans="2:8" ht="15">
      <c r="B1003" s="263"/>
      <c r="C1003" s="227" t="s">
        <v>415</v>
      </c>
      <c r="D1003" s="228"/>
      <c r="E1003" s="194">
        <v>0</v>
      </c>
      <c r="F1003" s="194">
        <f>G904</f>
        <v>15971308.821130004</v>
      </c>
      <c r="G1003" s="194">
        <v>0</v>
      </c>
      <c r="H1003" s="194">
        <f>SUM(E1003:G1003)</f>
        <v>15971308.821130004</v>
      </c>
    </row>
    <row r="1004" spans="2:8" ht="15">
      <c r="B1004" s="263"/>
      <c r="C1004" s="227" t="s">
        <v>1532</v>
      </c>
      <c r="D1004" s="228"/>
      <c r="E1004" s="194"/>
      <c r="F1004" s="194"/>
      <c r="G1004" s="194"/>
      <c r="H1004" s="194">
        <f>SUM(E1004:G1004)</f>
        <v>0</v>
      </c>
    </row>
    <row r="1005" spans="2:8" ht="15">
      <c r="B1005" s="263"/>
      <c r="C1005" s="227"/>
      <c r="D1005" s="228"/>
      <c r="E1005" s="194"/>
      <c r="F1005" s="194"/>
      <c r="G1005" s="194"/>
      <c r="H1005" s="194"/>
    </row>
    <row r="1006" spans="2:8" ht="15">
      <c r="B1006" s="263"/>
      <c r="C1006" s="264" t="s">
        <v>951</v>
      </c>
      <c r="D1006" s="261"/>
      <c r="E1006" s="226">
        <f>SUM(E1001:E1004)</f>
        <v>3598462</v>
      </c>
      <c r="F1006" s="226">
        <f>SUM(F1001:F1004)</f>
        <v>46689088.800770015</v>
      </c>
      <c r="G1006" s="226">
        <f>SUM(G1001:G1004)</f>
        <v>482994</v>
      </c>
      <c r="H1006" s="226">
        <f>SUM(E1006:G1006)</f>
        <v>50770544.800770015</v>
      </c>
    </row>
    <row r="1007" spans="2:8" ht="15">
      <c r="B1007" s="253"/>
      <c r="C1007" s="264"/>
      <c r="D1007" s="261"/>
      <c r="E1007" s="194"/>
      <c r="F1007" s="194"/>
      <c r="G1007" s="194"/>
      <c r="H1007" s="194"/>
    </row>
    <row r="1008" ht="12.75">
      <c r="B1008" s="253"/>
    </row>
    <row r="1009" spans="2:4" ht="12.75">
      <c r="B1009" s="166"/>
      <c r="C1009" s="245"/>
      <c r="D1009" s="244"/>
    </row>
    <row r="1010" spans="2:4" ht="19.5">
      <c r="B1010" s="169"/>
      <c r="C1010" s="265" t="s">
        <v>1759</v>
      </c>
      <c r="D1010" s="244"/>
    </row>
    <row r="1011" spans="2:4" ht="12.75">
      <c r="B1011" s="166"/>
      <c r="C1011" s="245"/>
      <c r="D1011" s="244"/>
    </row>
    <row r="1012" spans="2:4" ht="15">
      <c r="B1012" s="169"/>
      <c r="C1012" s="243" t="s">
        <v>952</v>
      </c>
      <c r="D1012" s="244"/>
    </row>
    <row r="1013" spans="2:4" ht="15">
      <c r="B1013" s="169"/>
      <c r="C1013" s="266" t="s">
        <v>953</v>
      </c>
      <c r="D1013" s="244"/>
    </row>
    <row r="1014" spans="2:4" ht="15">
      <c r="B1014" s="263"/>
      <c r="C1014" s="264"/>
      <c r="D1014" s="244"/>
    </row>
    <row r="1015" spans="2:4" ht="15">
      <c r="B1015" s="169"/>
      <c r="C1015" s="243" t="s">
        <v>1535</v>
      </c>
      <c r="D1015" s="267" t="s">
        <v>1536</v>
      </c>
    </row>
    <row r="1016" spans="2:4" ht="12.75">
      <c r="B1016" s="166"/>
      <c r="C1016" s="245"/>
      <c r="D1016" s="244" t="s">
        <v>1537</v>
      </c>
    </row>
    <row r="1019" spans="2:4" ht="15">
      <c r="B1019" s="169"/>
      <c r="C1019" s="243"/>
      <c r="D1019" s="228"/>
    </row>
    <row r="1020" spans="2:4" ht="15">
      <c r="B1020" s="166"/>
      <c r="C1020" s="245"/>
      <c r="D1020" s="267" t="s">
        <v>1759</v>
      </c>
    </row>
    <row r="1021" spans="2:4" ht="12.75">
      <c r="B1021" s="166"/>
      <c r="C1021" s="245"/>
      <c r="D1021" s="244"/>
    </row>
    <row r="1022" spans="2:4" ht="12.75">
      <c r="B1022" s="166"/>
      <c r="C1022" s="245"/>
      <c r="D1022" s="244"/>
    </row>
    <row r="1023" spans="2:4" ht="12.75">
      <c r="B1023" s="166"/>
      <c r="C1023" s="245"/>
      <c r="D1023" s="244"/>
    </row>
    <row r="1024" spans="2:4" ht="15">
      <c r="B1024" s="246"/>
      <c r="C1024" s="247" t="s">
        <v>954</v>
      </c>
      <c r="D1024" s="268" t="s">
        <v>1539</v>
      </c>
    </row>
    <row r="1025" spans="2:4" ht="13.5" thickBot="1">
      <c r="B1025" s="166"/>
      <c r="C1025" s="245"/>
      <c r="D1025" s="244"/>
    </row>
    <row r="1026" spans="2:10" ht="12.75">
      <c r="B1026" s="166"/>
      <c r="C1026" s="245"/>
      <c r="D1026" s="269" t="s">
        <v>962</v>
      </c>
      <c r="E1026" s="270" t="s">
        <v>955</v>
      </c>
      <c r="F1026" s="270" t="s">
        <v>963</v>
      </c>
      <c r="G1026" s="270" t="s">
        <v>964</v>
      </c>
      <c r="H1026" s="270" t="s">
        <v>965</v>
      </c>
      <c r="I1026" s="270" t="s">
        <v>956</v>
      </c>
      <c r="J1026" s="270" t="s">
        <v>1207</v>
      </c>
    </row>
    <row r="1027" spans="2:10" ht="12.75">
      <c r="B1027" s="166"/>
      <c r="C1027" s="245"/>
      <c r="D1027" s="271"/>
      <c r="E1027" s="272" t="s">
        <v>1212</v>
      </c>
      <c r="F1027" s="272" t="s">
        <v>1208</v>
      </c>
      <c r="G1027" s="272" t="s">
        <v>1209</v>
      </c>
      <c r="H1027" s="272" t="s">
        <v>1210</v>
      </c>
      <c r="I1027" s="272" t="s">
        <v>1213</v>
      </c>
      <c r="J1027" s="272"/>
    </row>
    <row r="1028" spans="2:10" ht="12.75">
      <c r="B1028" s="166"/>
      <c r="C1028" s="245"/>
      <c r="D1028" s="271"/>
      <c r="E1028" s="272"/>
      <c r="F1028" s="272" t="s">
        <v>957</v>
      </c>
      <c r="G1028" s="272" t="s">
        <v>1208</v>
      </c>
      <c r="H1028" s="272" t="s">
        <v>1208</v>
      </c>
      <c r="I1028" s="272"/>
      <c r="J1028" s="272"/>
    </row>
    <row r="1029" spans="2:10" ht="13.5" thickBot="1">
      <c r="B1029" s="166"/>
      <c r="C1029" s="245"/>
      <c r="D1029" s="273"/>
      <c r="E1029" s="274"/>
      <c r="F1029" s="274"/>
      <c r="G1029" s="274" t="s">
        <v>1210</v>
      </c>
      <c r="H1029" s="274" t="s">
        <v>81</v>
      </c>
      <c r="I1029" s="274"/>
      <c r="J1029" s="274"/>
    </row>
    <row r="1030" spans="2:10" ht="12.75">
      <c r="B1030" s="166"/>
      <c r="C1030" s="245"/>
      <c r="D1030" s="271"/>
      <c r="E1030" s="275" t="s">
        <v>1214</v>
      </c>
      <c r="F1030" s="275" t="s">
        <v>1214</v>
      </c>
      <c r="G1030" s="275" t="s">
        <v>1214</v>
      </c>
      <c r="H1030" s="275" t="s">
        <v>1214</v>
      </c>
      <c r="I1030" s="275" t="s">
        <v>1214</v>
      </c>
      <c r="J1030" s="276"/>
    </row>
    <row r="1031" spans="2:10" ht="12.75">
      <c r="B1031" s="166"/>
      <c r="C1031" s="245"/>
      <c r="D1031" s="277"/>
      <c r="E1031" s="276"/>
      <c r="F1031" s="276"/>
      <c r="G1031" s="276"/>
      <c r="H1031" s="276"/>
      <c r="I1031" s="276"/>
      <c r="J1031" s="276"/>
    </row>
    <row r="1032" spans="2:10" ht="12.75">
      <c r="B1032" s="166"/>
      <c r="C1032" s="245"/>
      <c r="D1032" s="278" t="s">
        <v>1215</v>
      </c>
      <c r="E1032" s="276"/>
      <c r="F1032" s="276"/>
      <c r="G1032" s="276"/>
      <c r="H1032" s="276"/>
      <c r="I1032" s="276"/>
      <c r="J1032" s="276"/>
    </row>
    <row r="1033" spans="2:10" ht="12.75">
      <c r="B1033" s="166"/>
      <c r="C1033" s="245"/>
      <c r="D1033" s="277" t="s">
        <v>958</v>
      </c>
      <c r="E1033" s="279">
        <v>272011</v>
      </c>
      <c r="F1033" s="279">
        <v>1101568</v>
      </c>
      <c r="G1033" s="279">
        <v>29632988</v>
      </c>
      <c r="H1033" s="279">
        <v>3782314</v>
      </c>
      <c r="I1033" s="279">
        <v>1440868</v>
      </c>
      <c r="J1033" s="279">
        <f>SUM(E1033:I1033)</f>
        <v>36229749</v>
      </c>
    </row>
    <row r="1034" spans="2:10" ht="12.75">
      <c r="B1034" s="166"/>
      <c r="C1034" s="245"/>
      <c r="D1034" s="277" t="s">
        <v>1216</v>
      </c>
      <c r="E1034" s="279">
        <v>4372</v>
      </c>
      <c r="F1034" s="279">
        <v>48752</v>
      </c>
      <c r="G1034" s="279">
        <v>1519076</v>
      </c>
      <c r="H1034" s="279">
        <v>587713</v>
      </c>
      <c r="I1034" s="279">
        <v>3238876</v>
      </c>
      <c r="J1034" s="279">
        <f>SUM(E1034:I1034)</f>
        <v>5398789</v>
      </c>
    </row>
    <row r="1035" spans="2:10" ht="12.75">
      <c r="B1035" s="166"/>
      <c r="C1035" s="245"/>
      <c r="D1035" s="277" t="s">
        <v>83</v>
      </c>
      <c r="E1035" s="279">
        <v>0</v>
      </c>
      <c r="F1035" s="279">
        <v>0</v>
      </c>
      <c r="G1035" s="279">
        <v>0</v>
      </c>
      <c r="H1035" s="279">
        <v>0</v>
      </c>
      <c r="I1035" s="279">
        <v>-22014</v>
      </c>
      <c r="J1035" s="279">
        <f>SUM(E1035:I1035)</f>
        <v>-22014</v>
      </c>
    </row>
    <row r="1036" spans="2:10" ht="12.75">
      <c r="B1036" s="166"/>
      <c r="C1036" s="245"/>
      <c r="D1036" s="280" t="s">
        <v>1217</v>
      </c>
      <c r="E1036" s="281"/>
      <c r="F1036" s="281"/>
      <c r="G1036" s="281"/>
      <c r="H1036" s="281"/>
      <c r="I1036" s="281"/>
      <c r="J1036" s="281"/>
    </row>
    <row r="1037" spans="2:10" ht="13.5" thickBot="1">
      <c r="B1037" s="166"/>
      <c r="C1037" s="245"/>
      <c r="D1037" s="273" t="s">
        <v>959</v>
      </c>
      <c r="E1037" s="282">
        <f aca="true" t="shared" si="0" ref="E1037:J1037">SUM(E1033:E1036)</f>
        <v>276383</v>
      </c>
      <c r="F1037" s="282">
        <f t="shared" si="0"/>
        <v>1150320</v>
      </c>
      <c r="G1037" s="282">
        <f t="shared" si="0"/>
        <v>31152064</v>
      </c>
      <c r="H1037" s="282">
        <f t="shared" si="0"/>
        <v>4370027</v>
      </c>
      <c r="I1037" s="282">
        <f t="shared" si="0"/>
        <v>4657730</v>
      </c>
      <c r="J1037" s="282">
        <f t="shared" si="0"/>
        <v>41606524</v>
      </c>
    </row>
    <row r="1038" spans="2:10" ht="12.75">
      <c r="B1038" s="166"/>
      <c r="C1038" s="245"/>
      <c r="D1038" s="277"/>
      <c r="E1038" s="279"/>
      <c r="F1038" s="279"/>
      <c r="G1038" s="279"/>
      <c r="H1038" s="279"/>
      <c r="I1038" s="279"/>
      <c r="J1038" s="279"/>
    </row>
    <row r="1039" spans="2:10" ht="12.75">
      <c r="B1039" s="166"/>
      <c r="C1039" s="245"/>
      <c r="D1039" s="277"/>
      <c r="E1039" s="279"/>
      <c r="F1039" s="279"/>
      <c r="G1039" s="279"/>
      <c r="H1039" s="279"/>
      <c r="I1039" s="279"/>
      <c r="J1039" s="279"/>
    </row>
    <row r="1040" spans="2:10" ht="12.75">
      <c r="B1040" s="166"/>
      <c r="C1040" s="245"/>
      <c r="D1040" s="283" t="s">
        <v>1218</v>
      </c>
      <c r="E1040" s="279"/>
      <c r="F1040" s="279"/>
      <c r="G1040" s="279"/>
      <c r="H1040" s="279"/>
      <c r="I1040" s="279"/>
      <c r="J1040" s="279"/>
    </row>
    <row r="1041" spans="2:10" ht="12.75">
      <c r="B1041" s="166"/>
      <c r="C1041" s="245"/>
      <c r="D1041" s="277" t="s">
        <v>958</v>
      </c>
      <c r="E1041" s="279">
        <v>55444</v>
      </c>
      <c r="F1041" s="279">
        <v>320846</v>
      </c>
      <c r="G1041" s="279">
        <v>6751000</v>
      </c>
      <c r="H1041" s="279">
        <v>2794528</v>
      </c>
      <c r="I1041" s="279">
        <v>0</v>
      </c>
      <c r="J1041" s="279">
        <f>SUM(E1041:I1041)</f>
        <v>9921818</v>
      </c>
    </row>
    <row r="1042" spans="2:10" ht="12.75">
      <c r="B1042" s="166"/>
      <c r="C1042" s="245"/>
      <c r="D1042" s="277" t="s">
        <v>1219</v>
      </c>
      <c r="E1042" s="279">
        <v>5528</v>
      </c>
      <c r="F1042" s="279">
        <v>45526</v>
      </c>
      <c r="G1042" s="279">
        <f>2131774</f>
        <v>2131774</v>
      </c>
      <c r="H1042" s="279">
        <v>533984</v>
      </c>
      <c r="I1042" s="279">
        <v>0</v>
      </c>
      <c r="J1042" s="279">
        <f>SUM(E1042:I1042)</f>
        <v>2716812</v>
      </c>
    </row>
    <row r="1043" spans="2:10" ht="12.75">
      <c r="B1043" s="166"/>
      <c r="C1043" s="245"/>
      <c r="D1043" s="284" t="s">
        <v>85</v>
      </c>
      <c r="E1043" s="279">
        <v>0</v>
      </c>
      <c r="F1043" s="279">
        <v>0</v>
      </c>
      <c r="G1043" s="279">
        <v>0</v>
      </c>
      <c r="H1043" s="279">
        <f>-(1918+55845)</f>
        <v>-57763</v>
      </c>
      <c r="I1043" s="279">
        <v>0</v>
      </c>
      <c r="J1043" s="279">
        <f>SUM(E1043:I1043)</f>
        <v>-57763</v>
      </c>
    </row>
    <row r="1044" spans="2:10" ht="12.75">
      <c r="B1044" s="166"/>
      <c r="C1044" s="245"/>
      <c r="D1044" s="271" t="s">
        <v>1762</v>
      </c>
      <c r="E1044" s="281"/>
      <c r="F1044" s="281"/>
      <c r="G1044" s="281"/>
      <c r="H1044" s="281"/>
      <c r="I1044" s="281"/>
      <c r="J1044" s="281"/>
    </row>
    <row r="1045" spans="2:10" ht="13.5" thickBot="1">
      <c r="B1045" s="166"/>
      <c r="C1045" s="245"/>
      <c r="D1045" s="273" t="s">
        <v>959</v>
      </c>
      <c r="E1045" s="282">
        <f aca="true" t="shared" si="1" ref="E1045:J1045">SUM(E1041:E1044)</f>
        <v>60972</v>
      </c>
      <c r="F1045" s="282">
        <f t="shared" si="1"/>
        <v>366372</v>
      </c>
      <c r="G1045" s="282">
        <f t="shared" si="1"/>
        <v>8882774</v>
      </c>
      <c r="H1045" s="282">
        <f t="shared" si="1"/>
        <v>3270749</v>
      </c>
      <c r="I1045" s="282">
        <f t="shared" si="1"/>
        <v>0</v>
      </c>
      <c r="J1045" s="282">
        <f t="shared" si="1"/>
        <v>12580867</v>
      </c>
    </row>
    <row r="1046" spans="2:10" ht="12.75">
      <c r="B1046" s="166"/>
      <c r="C1046" s="245"/>
      <c r="D1046" s="277"/>
      <c r="E1046" s="279"/>
      <c r="F1046" s="279"/>
      <c r="G1046" s="279"/>
      <c r="H1046" s="279"/>
      <c r="I1046" s="279"/>
      <c r="J1046" s="279"/>
    </row>
    <row r="1047" spans="2:10" ht="15">
      <c r="B1047" s="166"/>
      <c r="C1047" s="245"/>
      <c r="D1047" s="285" t="s">
        <v>1220</v>
      </c>
      <c r="E1047" s="286"/>
      <c r="F1047" s="286"/>
      <c r="G1047" s="286"/>
      <c r="H1047" s="286"/>
      <c r="I1047" s="286"/>
      <c r="J1047" s="286"/>
    </row>
    <row r="1048" spans="2:10" ht="15.75" thickBot="1">
      <c r="B1048" s="166"/>
      <c r="C1048" s="245"/>
      <c r="D1048" s="287" t="s">
        <v>689</v>
      </c>
      <c r="E1048" s="286">
        <f aca="true" t="shared" si="2" ref="E1048:J1048">E1037-E1045</f>
        <v>215411</v>
      </c>
      <c r="F1048" s="286">
        <f t="shared" si="2"/>
        <v>783948</v>
      </c>
      <c r="G1048" s="286">
        <f t="shared" si="2"/>
        <v>22269290</v>
      </c>
      <c r="H1048" s="286">
        <f t="shared" si="2"/>
        <v>1099278</v>
      </c>
      <c r="I1048" s="286">
        <f t="shared" si="2"/>
        <v>4657730</v>
      </c>
      <c r="J1048" s="286">
        <f t="shared" si="2"/>
        <v>29025657</v>
      </c>
    </row>
    <row r="1049" spans="2:10" ht="13.5" thickTop="1">
      <c r="B1049" s="166"/>
      <c r="C1049" s="245"/>
      <c r="D1049" s="277"/>
      <c r="E1049" s="288"/>
      <c r="F1049" s="288"/>
      <c r="G1049" s="288"/>
      <c r="H1049" s="288"/>
      <c r="I1049" s="288"/>
      <c r="J1049" s="288"/>
    </row>
    <row r="1050" spans="2:10" ht="12.75">
      <c r="B1050" s="166"/>
      <c r="C1050" s="245"/>
      <c r="D1050" s="277" t="s">
        <v>1220</v>
      </c>
      <c r="E1050" s="279"/>
      <c r="F1050" s="279"/>
      <c r="G1050" s="279"/>
      <c r="H1050" s="279"/>
      <c r="I1050" s="279"/>
      <c r="J1050" s="279"/>
    </row>
    <row r="1051" spans="2:10" ht="13.5" thickBot="1">
      <c r="B1051" s="166"/>
      <c r="C1051" s="245"/>
      <c r="D1051" s="289" t="s">
        <v>690</v>
      </c>
      <c r="E1051" s="290">
        <f aca="true" t="shared" si="3" ref="E1051:J1051">E1033-E1041</f>
        <v>216567</v>
      </c>
      <c r="F1051" s="290">
        <f t="shared" si="3"/>
        <v>780722</v>
      </c>
      <c r="G1051" s="290">
        <f t="shared" si="3"/>
        <v>22881988</v>
      </c>
      <c r="H1051" s="290">
        <f t="shared" si="3"/>
        <v>987786</v>
      </c>
      <c r="I1051" s="290">
        <f t="shared" si="3"/>
        <v>1440868</v>
      </c>
      <c r="J1051" s="290">
        <f t="shared" si="3"/>
        <v>26307931</v>
      </c>
    </row>
    <row r="1052" spans="2:8" ht="13.5" thickTop="1">
      <c r="B1052" s="166"/>
      <c r="C1052" s="245"/>
      <c r="D1052" s="244"/>
      <c r="E1052" s="241"/>
      <c r="F1052" s="241"/>
      <c r="H1052" s="241"/>
    </row>
    <row r="1053" ht="12.75">
      <c r="C1053" s="220"/>
    </row>
    <row r="1054" ht="12.75">
      <c r="C1054" s="220"/>
    </row>
    <row r="1055" ht="12.75">
      <c r="C1055" s="220"/>
    </row>
    <row r="1056" spans="3:4" ht="12.75">
      <c r="C1056" s="220"/>
      <c r="D1056" s="225"/>
    </row>
    <row r="1057" ht="12.75">
      <c r="C1057" s="220"/>
    </row>
    <row r="1058" ht="12.75">
      <c r="C1058" s="220"/>
    </row>
    <row r="1059" ht="12.75">
      <c r="C1059" s="220"/>
    </row>
    <row r="1060" ht="12.75">
      <c r="C1060" s="220"/>
    </row>
    <row r="1061" ht="12.75">
      <c r="C1061" s="220"/>
    </row>
    <row r="1062" spans="2:3" ht="19.5">
      <c r="B1062" s="169"/>
      <c r="C1062" s="265" t="s">
        <v>1759</v>
      </c>
    </row>
    <row r="1063" spans="2:3" ht="12.75">
      <c r="B1063" s="166"/>
      <c r="C1063" s="245"/>
    </row>
    <row r="1064" spans="2:3" ht="15">
      <c r="B1064" s="169"/>
      <c r="C1064" s="225" t="s">
        <v>93</v>
      </c>
    </row>
    <row r="1065" spans="2:3" ht="15">
      <c r="B1065" s="169"/>
      <c r="C1065" s="291" t="s">
        <v>691</v>
      </c>
    </row>
    <row r="1066" spans="2:8" ht="15">
      <c r="B1066" s="169"/>
      <c r="C1066" s="243"/>
      <c r="G1066" s="248" t="s">
        <v>1079</v>
      </c>
      <c r="H1066" s="248" t="s">
        <v>1613</v>
      </c>
    </row>
    <row r="1067" spans="2:8" ht="15">
      <c r="B1067" s="169"/>
      <c r="C1067" s="243"/>
      <c r="G1067" s="262" t="s">
        <v>1113</v>
      </c>
      <c r="H1067" s="262" t="s">
        <v>1113</v>
      </c>
    </row>
    <row r="1068" spans="2:4" ht="15">
      <c r="B1068" s="169"/>
      <c r="C1068" s="224" t="s">
        <v>95</v>
      </c>
      <c r="D1068" s="225" t="s">
        <v>604</v>
      </c>
    </row>
    <row r="1069" spans="2:8" ht="15">
      <c r="B1069" s="169"/>
      <c r="C1069" s="224"/>
      <c r="D1069" s="228" t="s">
        <v>96</v>
      </c>
      <c r="G1069" s="194">
        <v>10908968</v>
      </c>
      <c r="H1069" s="194">
        <v>9617689</v>
      </c>
    </row>
    <row r="1070" spans="2:8" ht="15">
      <c r="B1070" s="169"/>
      <c r="C1070" s="224"/>
      <c r="D1070" s="228" t="s">
        <v>1117</v>
      </c>
      <c r="G1070" s="194">
        <v>1673500</v>
      </c>
      <c r="H1070" s="194">
        <v>1343233</v>
      </c>
    </row>
    <row r="1071" spans="2:8" ht="15.75">
      <c r="B1071" s="169"/>
      <c r="C1071" s="224"/>
      <c r="D1071" s="228" t="s">
        <v>97</v>
      </c>
      <c r="G1071" s="251">
        <v>594792</v>
      </c>
      <c r="H1071" s="251">
        <v>140068</v>
      </c>
    </row>
    <row r="1072" spans="2:8" ht="15.75">
      <c r="B1072" s="169"/>
      <c r="C1072" s="224"/>
      <c r="D1072" s="225" t="s">
        <v>1207</v>
      </c>
      <c r="G1072" s="259">
        <f>SUM(G1069:G1071)</f>
        <v>13177260</v>
      </c>
      <c r="H1072" s="259">
        <f>SUM(H1069:H1071)</f>
        <v>11100990</v>
      </c>
    </row>
    <row r="1073" spans="2:8" ht="15">
      <c r="B1073" s="169"/>
      <c r="C1073" s="224"/>
      <c r="D1073" s="228"/>
      <c r="G1073" s="194"/>
      <c r="H1073" s="194"/>
    </row>
    <row r="1074" spans="2:8" ht="15">
      <c r="B1074" s="169"/>
      <c r="C1074" s="224"/>
      <c r="D1074" s="228"/>
      <c r="G1074" s="194"/>
      <c r="H1074" s="194"/>
    </row>
    <row r="1075" spans="2:8" ht="15">
      <c r="B1075" s="169"/>
      <c r="C1075" s="224" t="s">
        <v>98</v>
      </c>
      <c r="D1075" s="225" t="s">
        <v>1929</v>
      </c>
      <c r="G1075" s="194"/>
      <c r="H1075" s="194"/>
    </row>
    <row r="1076" spans="2:8" ht="15">
      <c r="B1076" s="169"/>
      <c r="C1076" s="224"/>
      <c r="D1076" s="228" t="s">
        <v>1930</v>
      </c>
      <c r="G1076" s="194">
        <v>405161</v>
      </c>
      <c r="H1076" s="194">
        <v>457535</v>
      </c>
    </row>
    <row r="1077" spans="2:8" ht="15">
      <c r="B1077" s="169"/>
      <c r="C1077" s="224"/>
      <c r="D1077" s="228" t="s">
        <v>1931</v>
      </c>
      <c r="G1077" s="194">
        <v>27982085</v>
      </c>
      <c r="H1077" s="194">
        <v>28758522</v>
      </c>
    </row>
    <row r="1078" spans="2:8" ht="15.75">
      <c r="B1078" s="169"/>
      <c r="C1078" s="224"/>
      <c r="D1078" s="228" t="s">
        <v>1691</v>
      </c>
      <c r="G1078" s="251">
        <v>8804772</v>
      </c>
      <c r="H1078" s="251">
        <v>6632078</v>
      </c>
    </row>
    <row r="1079" spans="2:8" ht="15.75">
      <c r="B1079" s="169"/>
      <c r="C1079" s="224"/>
      <c r="D1079" s="228"/>
      <c r="G1079" s="259">
        <f>SUM(G1076:G1078)</f>
        <v>37192018</v>
      </c>
      <c r="H1079" s="259">
        <f>SUM(H1076:H1078)</f>
        <v>35848135</v>
      </c>
    </row>
    <row r="1080" spans="2:8" ht="15">
      <c r="B1080" s="169"/>
      <c r="C1080" s="224"/>
      <c r="D1080" s="228"/>
      <c r="G1080" s="194"/>
      <c r="H1080" s="194"/>
    </row>
    <row r="1081" spans="2:8" ht="15">
      <c r="B1081" s="169"/>
      <c r="C1081" s="224"/>
      <c r="D1081" s="228" t="s">
        <v>692</v>
      </c>
      <c r="G1081" s="194"/>
      <c r="H1081" s="194"/>
    </row>
    <row r="1082" spans="2:8" ht="15.75">
      <c r="B1082" s="169"/>
      <c r="C1082" s="224"/>
      <c r="D1082" s="228" t="s">
        <v>1928</v>
      </c>
      <c r="G1082" s="292">
        <v>2816256</v>
      </c>
      <c r="H1082" s="292">
        <v>1998783</v>
      </c>
    </row>
    <row r="1083" spans="2:8" ht="15">
      <c r="B1083" s="169"/>
      <c r="C1083" s="224"/>
      <c r="D1083" s="228"/>
      <c r="G1083" s="194"/>
      <c r="H1083" s="194"/>
    </row>
    <row r="1084" spans="2:8" ht="15">
      <c r="B1084" s="169"/>
      <c r="C1084" s="224"/>
      <c r="D1084" s="228"/>
      <c r="G1084" s="194"/>
      <c r="H1084" s="194"/>
    </row>
    <row r="1085" spans="2:8" ht="15">
      <c r="B1085" s="169"/>
      <c r="C1085" s="224"/>
      <c r="D1085" s="228"/>
      <c r="G1085" s="194"/>
      <c r="H1085" s="194"/>
    </row>
    <row r="1086" spans="2:8" ht="15">
      <c r="B1086" s="169"/>
      <c r="C1086" s="224" t="s">
        <v>99</v>
      </c>
      <c r="D1086" s="225" t="s">
        <v>605</v>
      </c>
      <c r="G1086" s="194"/>
      <c r="H1086" s="194"/>
    </row>
    <row r="1087" spans="2:8" ht="15">
      <c r="B1087" s="169"/>
      <c r="C1087" s="224"/>
      <c r="D1087" s="228" t="s">
        <v>420</v>
      </c>
      <c r="G1087" s="194">
        <v>2923143</v>
      </c>
      <c r="H1087" s="194">
        <v>2457359</v>
      </c>
    </row>
    <row r="1088" spans="2:8" ht="15.75">
      <c r="B1088" s="169"/>
      <c r="C1088" s="224"/>
      <c r="D1088" s="228" t="s">
        <v>421</v>
      </c>
      <c r="G1088" s="251">
        <v>-412213</v>
      </c>
      <c r="H1088" s="251">
        <v>-430435</v>
      </c>
    </row>
    <row r="1089" spans="2:8" ht="15.75">
      <c r="B1089" s="169"/>
      <c r="C1089" s="224"/>
      <c r="D1089" s="225" t="s">
        <v>1207</v>
      </c>
      <c r="G1089" s="259">
        <f>SUM(G1087:G1088)</f>
        <v>2510930</v>
      </c>
      <c r="H1089" s="259">
        <f>SUM(H1087:H1088)</f>
        <v>2026924</v>
      </c>
    </row>
    <row r="1090" spans="3:8" ht="12.75">
      <c r="C1090" s="224"/>
      <c r="D1090" s="228"/>
      <c r="G1090" s="194"/>
      <c r="H1090" s="194"/>
    </row>
    <row r="1091" spans="3:8" ht="12.75">
      <c r="C1091" s="224"/>
      <c r="D1091" s="228"/>
      <c r="G1091" s="194"/>
      <c r="H1091" s="194"/>
    </row>
    <row r="1092" spans="3:8" ht="12.75">
      <c r="C1092" s="224"/>
      <c r="G1092" s="194"/>
      <c r="H1092" s="194"/>
    </row>
    <row r="1093" spans="3:8" ht="12.75">
      <c r="C1093" s="224" t="s">
        <v>101</v>
      </c>
      <c r="D1093" s="225" t="s">
        <v>100</v>
      </c>
      <c r="G1093" s="194"/>
      <c r="H1093" s="194"/>
    </row>
    <row r="1094" spans="3:8" ht="12.75">
      <c r="C1094" s="224"/>
      <c r="G1094" s="194"/>
      <c r="H1094" s="194"/>
    </row>
    <row r="1095" spans="3:8" ht="12.75">
      <c r="C1095" s="224"/>
      <c r="D1095" s="293" t="s">
        <v>1221</v>
      </c>
      <c r="G1095" s="194">
        <v>828939</v>
      </c>
      <c r="H1095" s="194">
        <v>978120</v>
      </c>
    </row>
    <row r="1096" spans="3:8" ht="12.75">
      <c r="C1096" s="224"/>
      <c r="D1096" s="293" t="s">
        <v>1222</v>
      </c>
      <c r="G1096" s="194">
        <v>56408</v>
      </c>
      <c r="H1096" s="194">
        <v>400819</v>
      </c>
    </row>
    <row r="1097" spans="3:8" ht="12.75">
      <c r="C1097" s="224"/>
      <c r="D1097" s="293" t="s">
        <v>1223</v>
      </c>
      <c r="G1097" s="194">
        <v>39876</v>
      </c>
      <c r="H1097" s="194">
        <v>102420</v>
      </c>
    </row>
    <row r="1098" spans="3:8" ht="15">
      <c r="C1098" s="224"/>
      <c r="D1098" s="293" t="s">
        <v>1080</v>
      </c>
      <c r="G1098" s="251">
        <v>301194</v>
      </c>
      <c r="H1098" s="251">
        <v>235759</v>
      </c>
    </row>
    <row r="1099" spans="3:8" ht="12.75">
      <c r="C1099" s="224"/>
      <c r="D1099" s="293"/>
      <c r="G1099" s="194">
        <f>SUM(G1095:G1098)</f>
        <v>1226417</v>
      </c>
      <c r="H1099" s="194">
        <f>SUM(H1095:H1098)</f>
        <v>1717118</v>
      </c>
    </row>
    <row r="1100" spans="3:8" ht="15">
      <c r="C1100" s="224"/>
      <c r="D1100" s="294" t="s">
        <v>1172</v>
      </c>
      <c r="G1100" s="251">
        <v>-221157</v>
      </c>
      <c r="H1100" s="251">
        <v>-81048</v>
      </c>
    </row>
    <row r="1101" spans="3:8" ht="15">
      <c r="C1101" s="224"/>
      <c r="D1101" s="294" t="s">
        <v>1207</v>
      </c>
      <c r="G1101" s="259">
        <f>SUM(G1099:G1100)</f>
        <v>1005260</v>
      </c>
      <c r="H1101" s="259">
        <f>SUM(H1099:H1100)</f>
        <v>1636070</v>
      </c>
    </row>
    <row r="1102" ht="12.75">
      <c r="C1102" s="224"/>
    </row>
    <row r="1103" ht="12.75">
      <c r="C1103" s="224"/>
    </row>
    <row r="1104" spans="3:4" ht="12.75">
      <c r="C1104" s="224" t="s">
        <v>108</v>
      </c>
      <c r="D1104" s="225" t="s">
        <v>102</v>
      </c>
    </row>
    <row r="1105" spans="3:4" ht="12.75">
      <c r="C1105" s="224"/>
      <c r="D1105" s="225"/>
    </row>
    <row r="1106" spans="3:4" ht="14.25">
      <c r="C1106" s="220"/>
      <c r="D1106" s="295" t="s">
        <v>1081</v>
      </c>
    </row>
    <row r="1107" spans="3:8" ht="16.5">
      <c r="C1107" s="220"/>
      <c r="D1107" s="296" t="s">
        <v>693</v>
      </c>
      <c r="G1107" s="259">
        <v>3598462</v>
      </c>
      <c r="H1107" s="259">
        <v>3598462</v>
      </c>
    </row>
    <row r="1108" spans="3:4" ht="15">
      <c r="C1108" s="220"/>
      <c r="D1108" s="296"/>
    </row>
    <row r="1109" spans="3:4" ht="14.25">
      <c r="C1109" s="220"/>
      <c r="D1109" s="295" t="s">
        <v>1094</v>
      </c>
    </row>
    <row r="1110" spans="3:6" ht="14.25">
      <c r="C1110" s="220"/>
      <c r="D1110" s="295" t="s">
        <v>103</v>
      </c>
      <c r="F1110" s="248" t="s">
        <v>104</v>
      </c>
    </row>
    <row r="1111" spans="3:8" ht="12.75">
      <c r="C1111" s="220"/>
      <c r="D1111" s="297" t="s">
        <v>1629</v>
      </c>
      <c r="F1111" s="194">
        <v>124427900</v>
      </c>
      <c r="G1111" s="194">
        <f aca="true" t="shared" si="4" ref="G1111:G1118">F1111*0.02</f>
        <v>2488558</v>
      </c>
      <c r="H1111" s="194">
        <v>2278368</v>
      </c>
    </row>
    <row r="1112" spans="3:8" ht="12.75">
      <c r="C1112" s="220"/>
      <c r="D1112" s="297" t="s">
        <v>1095</v>
      </c>
      <c r="F1112" s="194">
        <v>0</v>
      </c>
      <c r="G1112" s="194">
        <f t="shared" si="4"/>
        <v>0</v>
      </c>
      <c r="H1112" s="194">
        <v>1079508</v>
      </c>
    </row>
    <row r="1113" spans="3:8" ht="12.75">
      <c r="C1113" s="220"/>
      <c r="D1113" s="297" t="s">
        <v>1096</v>
      </c>
      <c r="F1113" s="194">
        <v>0</v>
      </c>
      <c r="G1113" s="194">
        <f t="shared" si="4"/>
        <v>0</v>
      </c>
      <c r="H1113" s="194">
        <v>215908</v>
      </c>
    </row>
    <row r="1114" spans="3:8" ht="12.75">
      <c r="C1114" s="220"/>
      <c r="D1114" s="297" t="s">
        <v>416</v>
      </c>
      <c r="F1114" s="298">
        <f>1349200+7933200</f>
        <v>9282400</v>
      </c>
      <c r="G1114" s="194">
        <f t="shared" si="4"/>
        <v>185648</v>
      </c>
      <c r="H1114" s="298">
        <v>24672</v>
      </c>
    </row>
    <row r="1115" spans="3:8" ht="12.75">
      <c r="C1115" s="220"/>
      <c r="D1115" s="297" t="s">
        <v>694</v>
      </c>
      <c r="F1115" s="298">
        <v>46212800</v>
      </c>
      <c r="G1115" s="194">
        <f t="shared" si="4"/>
        <v>924256</v>
      </c>
      <c r="H1115" s="298">
        <v>0</v>
      </c>
    </row>
    <row r="1116" spans="3:8" ht="12.75">
      <c r="C1116" s="220"/>
      <c r="D1116" s="297" t="s">
        <v>105</v>
      </c>
      <c r="F1116" s="298">
        <v>0</v>
      </c>
      <c r="G1116" s="194">
        <f t="shared" si="4"/>
        <v>0</v>
      </c>
      <c r="H1116" s="298">
        <v>2</v>
      </c>
    </row>
    <row r="1117" spans="3:8" ht="12.75">
      <c r="C1117" s="220"/>
      <c r="D1117" s="297" t="s">
        <v>106</v>
      </c>
      <c r="F1117" s="298">
        <v>0</v>
      </c>
      <c r="G1117" s="194">
        <f t="shared" si="4"/>
        <v>0</v>
      </c>
      <c r="H1117" s="298">
        <v>2</v>
      </c>
    </row>
    <row r="1118" spans="3:8" ht="15">
      <c r="C1118" s="220"/>
      <c r="D1118" s="297" t="s">
        <v>107</v>
      </c>
      <c r="F1118" s="251">
        <v>0</v>
      </c>
      <c r="G1118" s="194">
        <f t="shared" si="4"/>
        <v>0</v>
      </c>
      <c r="H1118" s="251">
        <v>2</v>
      </c>
    </row>
    <row r="1119" spans="3:8" ht="15">
      <c r="C1119" s="220"/>
      <c r="D1119" s="294" t="s">
        <v>1207</v>
      </c>
      <c r="F1119" s="259">
        <f>SUM(F1111:F1118)</f>
        <v>179923100</v>
      </c>
      <c r="G1119" s="259">
        <f>SUM(G1111:G1118)</f>
        <v>3598462</v>
      </c>
      <c r="H1119" s="259">
        <f>SUM(H1111:H1118)</f>
        <v>3598462</v>
      </c>
    </row>
    <row r="1120" spans="3:8" ht="15">
      <c r="C1120" s="220"/>
      <c r="D1120" s="294"/>
      <c r="F1120" s="259"/>
      <c r="G1120" s="259"/>
      <c r="H1120" s="259"/>
    </row>
    <row r="1121" spans="3:8" ht="15">
      <c r="C1121" s="220"/>
      <c r="D1121" s="294"/>
      <c r="F1121" s="259"/>
      <c r="G1121" s="259"/>
      <c r="H1121" s="259"/>
    </row>
    <row r="1122" spans="3:8" ht="12.75">
      <c r="C1122" s="224" t="s">
        <v>1430</v>
      </c>
      <c r="D1122" s="225" t="s">
        <v>494</v>
      </c>
      <c r="F1122" s="194"/>
      <c r="G1122" s="194"/>
      <c r="H1122" s="194"/>
    </row>
    <row r="1123" spans="3:8" ht="12.75">
      <c r="C1123" s="220"/>
      <c r="F1123" s="194"/>
      <c r="G1123" s="194"/>
      <c r="H1123" s="194"/>
    </row>
    <row r="1124" spans="3:8" ht="12.75">
      <c r="C1124" s="220"/>
      <c r="D1124" s="299" t="s">
        <v>15</v>
      </c>
      <c r="F1124" s="194"/>
      <c r="G1124" s="194">
        <f>86366+258908</f>
        <v>345274</v>
      </c>
      <c r="H1124" s="194">
        <v>828524</v>
      </c>
    </row>
    <row r="1125" spans="3:8" ht="15">
      <c r="C1125" s="220"/>
      <c r="D1125" s="299" t="s">
        <v>432</v>
      </c>
      <c r="F1125" s="194"/>
      <c r="G1125" s="251">
        <v>399228</v>
      </c>
      <c r="H1125" s="251">
        <v>340451</v>
      </c>
    </row>
    <row r="1126" spans="3:8" ht="15">
      <c r="C1126" s="220"/>
      <c r="D1126" s="294"/>
      <c r="F1126" s="194"/>
      <c r="G1126" s="259">
        <f>SUM(G1124:G1125)</f>
        <v>744502</v>
      </c>
      <c r="H1126" s="259">
        <f>SUM(H1124:H1125)</f>
        <v>1168975</v>
      </c>
    </row>
    <row r="1127" spans="3:8" ht="12.75">
      <c r="C1127" s="220"/>
      <c r="F1127" s="194"/>
      <c r="G1127" s="194"/>
      <c r="H1127" s="194"/>
    </row>
    <row r="1128" spans="3:8" ht="12.75">
      <c r="C1128" s="224" t="s">
        <v>16</v>
      </c>
      <c r="D1128" s="225" t="s">
        <v>1427</v>
      </c>
      <c r="F1128" s="194"/>
      <c r="G1128" s="194"/>
      <c r="H1128" s="194"/>
    </row>
    <row r="1129" spans="3:8" ht="12.75">
      <c r="C1129" s="220"/>
      <c r="F1129" s="194"/>
      <c r="G1129" s="194"/>
      <c r="H1129" s="194"/>
    </row>
    <row r="1130" spans="3:8" ht="12.75">
      <c r="C1130" s="220"/>
      <c r="D1130" s="299" t="s">
        <v>1428</v>
      </c>
      <c r="F1130" s="194"/>
      <c r="G1130" s="194">
        <v>679912</v>
      </c>
      <c r="H1130" s="194">
        <v>730275.705</v>
      </c>
    </row>
    <row r="1131" spans="3:8" ht="15">
      <c r="C1131" s="220"/>
      <c r="D1131" s="299" t="s">
        <v>417</v>
      </c>
      <c r="F1131" s="194"/>
      <c r="G1131" s="251">
        <v>50364</v>
      </c>
      <c r="H1131" s="251">
        <v>50363.841</v>
      </c>
    </row>
    <row r="1132" spans="3:8" ht="15">
      <c r="C1132" s="220"/>
      <c r="D1132" s="294" t="s">
        <v>1429</v>
      </c>
      <c r="F1132" s="194"/>
      <c r="G1132" s="259">
        <f>SUM(G1130-G1131)</f>
        <v>629548</v>
      </c>
      <c r="H1132" s="259">
        <f>SUM(H1130-H1131)</f>
        <v>679911.864</v>
      </c>
    </row>
    <row r="1133" spans="3:8" ht="15">
      <c r="C1133" s="220"/>
      <c r="D1133" s="294"/>
      <c r="F1133" s="194"/>
      <c r="G1133" s="259"/>
      <c r="H1133" s="259"/>
    </row>
    <row r="1134" spans="3:8" ht="15">
      <c r="C1134" s="220"/>
      <c r="D1134" s="293" t="s">
        <v>426</v>
      </c>
      <c r="E1134" s="244"/>
      <c r="F1134" s="298"/>
      <c r="G1134" s="300">
        <v>35100</v>
      </c>
      <c r="H1134" s="301">
        <v>31113</v>
      </c>
    </row>
    <row r="1135" spans="3:8" ht="15">
      <c r="C1135" s="220"/>
      <c r="D1135" s="294" t="s">
        <v>17</v>
      </c>
      <c r="F1135" s="194"/>
      <c r="G1135" s="259">
        <f>G1131+G1134</f>
        <v>85464</v>
      </c>
      <c r="H1135" s="259">
        <f>H1131+H1134</f>
        <v>81476.841</v>
      </c>
    </row>
    <row r="1136" spans="3:8" ht="15">
      <c r="C1136" s="220"/>
      <c r="D1136" s="294"/>
      <c r="F1136" s="194"/>
      <c r="G1136" s="259"/>
      <c r="H1136" s="259"/>
    </row>
    <row r="1137" spans="3:4" ht="12.75">
      <c r="C1137" s="220"/>
      <c r="D1137" s="293"/>
    </row>
    <row r="1138" spans="3:4" ht="12.75">
      <c r="C1138" s="220"/>
      <c r="D1138" s="293" t="s">
        <v>971</v>
      </c>
    </row>
    <row r="1139" spans="3:4" ht="12.75">
      <c r="C1139" s="220"/>
      <c r="D1139" s="293" t="s">
        <v>1628</v>
      </c>
    </row>
    <row r="1140" spans="3:4" ht="12.75">
      <c r="C1140" s="220"/>
      <c r="D1140" s="293" t="s">
        <v>418</v>
      </c>
    </row>
    <row r="1141" spans="3:4" ht="12.75">
      <c r="C1141" s="220"/>
      <c r="D1141" s="293" t="s">
        <v>41</v>
      </c>
    </row>
    <row r="1142" spans="3:4" ht="12.75">
      <c r="C1142" s="220"/>
      <c r="D1142" s="293" t="s">
        <v>42</v>
      </c>
    </row>
    <row r="1143" spans="3:4" ht="12.75">
      <c r="C1143" s="220"/>
      <c r="D1143" s="293" t="s">
        <v>44</v>
      </c>
    </row>
    <row r="1144" spans="3:4" ht="12.75">
      <c r="C1144" s="220"/>
      <c r="D1144" s="293" t="s">
        <v>972</v>
      </c>
    </row>
    <row r="1145" spans="3:4" ht="12.75">
      <c r="C1145" s="220"/>
      <c r="D1145" s="244"/>
    </row>
    <row r="1146" spans="3:4" ht="12.75">
      <c r="C1146" s="220"/>
      <c r="D1146" s="244"/>
    </row>
    <row r="1147" spans="3:4" ht="12.75">
      <c r="C1147" s="224" t="s">
        <v>18</v>
      </c>
      <c r="D1147" s="225" t="s">
        <v>43</v>
      </c>
    </row>
    <row r="1148" spans="3:8" ht="12.75">
      <c r="C1148" s="224"/>
      <c r="D1148" s="225"/>
      <c r="G1148" s="248" t="s">
        <v>1079</v>
      </c>
      <c r="H1148" s="248" t="s">
        <v>1613</v>
      </c>
    </row>
    <row r="1149" spans="3:8" ht="12.75">
      <c r="C1149" s="224"/>
      <c r="D1149" s="225"/>
      <c r="G1149" s="262" t="s">
        <v>1113</v>
      </c>
      <c r="H1149" s="262" t="s">
        <v>1113</v>
      </c>
    </row>
    <row r="1150" spans="3:4" ht="12.75">
      <c r="C1150" s="220"/>
      <c r="D1150" s="244"/>
    </row>
    <row r="1151" spans="3:8" ht="15">
      <c r="C1151" s="220"/>
      <c r="D1151" s="299" t="s">
        <v>970</v>
      </c>
      <c r="G1151" s="259">
        <v>0</v>
      </c>
      <c r="H1151" s="259">
        <v>0</v>
      </c>
    </row>
    <row r="1152" spans="3:4" ht="12.75">
      <c r="C1152" s="220"/>
      <c r="D1152" s="299"/>
    </row>
    <row r="1153" spans="3:4" ht="15">
      <c r="C1153" s="220"/>
      <c r="D1153" s="296"/>
    </row>
    <row r="1154" spans="3:4" ht="15">
      <c r="C1154" s="220"/>
      <c r="D1154" s="296" t="s">
        <v>1630</v>
      </c>
    </row>
    <row r="1155" spans="3:4" ht="15">
      <c r="C1155" s="220"/>
      <c r="D1155" s="296" t="s">
        <v>1324</v>
      </c>
    </row>
    <row r="1156" spans="3:4" ht="15">
      <c r="C1156" s="220"/>
      <c r="D1156" s="296" t="s">
        <v>1431</v>
      </c>
    </row>
    <row r="1157" spans="3:4" ht="15">
      <c r="C1157" s="220"/>
      <c r="D1157" s="296" t="s">
        <v>1432</v>
      </c>
    </row>
    <row r="1158" spans="3:4" ht="15">
      <c r="C1158" s="220"/>
      <c r="D1158" s="296"/>
    </row>
    <row r="1159" spans="3:4" ht="15">
      <c r="C1159" s="220"/>
      <c r="D1159" s="296" t="s">
        <v>1327</v>
      </c>
    </row>
    <row r="1160" spans="3:4" ht="15">
      <c r="C1160" s="302"/>
      <c r="D1160" s="303" t="s">
        <v>1326</v>
      </c>
    </row>
    <row r="1161" spans="3:4" ht="15">
      <c r="C1161" s="304"/>
      <c r="D1161" s="305"/>
    </row>
    <row r="1162" spans="3:4" ht="15">
      <c r="C1162" s="302"/>
      <c r="D1162" s="303"/>
    </row>
    <row r="1163" spans="3:4" ht="15">
      <c r="C1163" s="304"/>
      <c r="D1163" s="303"/>
    </row>
    <row r="1164" spans="3:4" ht="15">
      <c r="C1164" s="302"/>
      <c r="D1164" s="303"/>
    </row>
    <row r="1167" ht="19.5">
      <c r="C1167" s="265" t="s">
        <v>1759</v>
      </c>
    </row>
    <row r="1168" ht="12.75">
      <c r="C1168" s="245"/>
    </row>
    <row r="1169" ht="12.75">
      <c r="C1169" s="225" t="s">
        <v>93</v>
      </c>
    </row>
    <row r="1170" ht="12.75">
      <c r="C1170" s="291" t="s">
        <v>691</v>
      </c>
    </row>
    <row r="1171" ht="12.75">
      <c r="C1171" s="220"/>
    </row>
    <row r="1172" spans="3:8" ht="14.25">
      <c r="C1172" s="220"/>
      <c r="D1172" s="306"/>
      <c r="G1172" s="248" t="s">
        <v>1079</v>
      </c>
      <c r="H1172" s="248" t="s">
        <v>1613</v>
      </c>
    </row>
    <row r="1173" spans="3:8" ht="12.75">
      <c r="C1173" s="220"/>
      <c r="G1173" s="262" t="s">
        <v>1113</v>
      </c>
      <c r="H1173" s="262" t="s">
        <v>1113</v>
      </c>
    </row>
    <row r="1174" spans="3:4" ht="12.75">
      <c r="C1174" s="307" t="s">
        <v>1415</v>
      </c>
      <c r="D1174" s="225" t="s">
        <v>1600</v>
      </c>
    </row>
    <row r="1175" spans="3:8" ht="12.75">
      <c r="C1175" s="228"/>
      <c r="D1175" s="253"/>
      <c r="G1175" s="194"/>
      <c r="H1175" s="194"/>
    </row>
    <row r="1176" spans="3:8" ht="12.75">
      <c r="C1176" s="228"/>
      <c r="D1176" s="253" t="s">
        <v>427</v>
      </c>
      <c r="G1176" s="194">
        <v>4022051</v>
      </c>
      <c r="H1176" s="194">
        <v>5384019</v>
      </c>
    </row>
    <row r="1177" spans="3:8" ht="12.75">
      <c r="C1177" s="228"/>
      <c r="D1177" s="253" t="s">
        <v>1598</v>
      </c>
      <c r="G1177" s="194">
        <v>2371087</v>
      </c>
      <c r="H1177" s="194">
        <v>2300723</v>
      </c>
    </row>
    <row r="1178" spans="3:8" ht="15">
      <c r="C1178" s="228"/>
      <c r="D1178" s="253" t="s">
        <v>428</v>
      </c>
      <c r="G1178" s="251">
        <v>387188</v>
      </c>
      <c r="H1178" s="251">
        <v>394079</v>
      </c>
    </row>
    <row r="1179" spans="3:8" ht="15">
      <c r="C1179" s="228"/>
      <c r="D1179" s="308" t="s">
        <v>1207</v>
      </c>
      <c r="G1179" s="259">
        <f>SUM(G1175:G1178)</f>
        <v>6780326</v>
      </c>
      <c r="H1179" s="259">
        <f>SUM(H1175:H1178)</f>
        <v>8078821</v>
      </c>
    </row>
    <row r="1180" spans="3:8" ht="12.75">
      <c r="C1180" s="227"/>
      <c r="D1180" s="228"/>
      <c r="G1180" s="194"/>
      <c r="H1180" s="194"/>
    </row>
    <row r="1181" spans="3:8" ht="12.75">
      <c r="C1181" s="228"/>
      <c r="D1181" s="309"/>
      <c r="G1181" s="194"/>
      <c r="H1181" s="194"/>
    </row>
    <row r="1182" spans="3:8" ht="12.75">
      <c r="C1182" s="307" t="s">
        <v>1416</v>
      </c>
      <c r="D1182" s="225" t="s">
        <v>388</v>
      </c>
      <c r="G1182" s="194"/>
      <c r="H1182" s="194"/>
    </row>
    <row r="1183" spans="3:8" ht="12.75">
      <c r="C1183" s="307" t="s">
        <v>52</v>
      </c>
      <c r="D1183" s="225" t="s">
        <v>45</v>
      </c>
      <c r="G1183" s="194"/>
      <c r="H1183" s="194"/>
    </row>
    <row r="1184" spans="3:8" ht="12.75">
      <c r="C1184" s="310"/>
      <c r="D1184" s="253" t="s">
        <v>1548</v>
      </c>
      <c r="G1184" s="194">
        <v>0</v>
      </c>
      <c r="H1184" s="194">
        <v>0</v>
      </c>
    </row>
    <row r="1185" spans="3:8" ht="15">
      <c r="C1185" s="310"/>
      <c r="D1185" s="253" t="s">
        <v>1604</v>
      </c>
      <c r="G1185" s="251">
        <v>0</v>
      </c>
      <c r="H1185" s="251">
        <v>0</v>
      </c>
    </row>
    <row r="1186" spans="3:8" ht="12.75">
      <c r="C1186" s="310"/>
      <c r="D1186" s="253"/>
      <c r="G1186" s="194">
        <f>SUM(G1184:G1185)</f>
        <v>0</v>
      </c>
      <c r="H1186" s="194">
        <f>SUM(H1184:H1185)</f>
        <v>0</v>
      </c>
    </row>
    <row r="1187" spans="3:8" ht="15">
      <c r="C1187" s="310"/>
      <c r="D1187" s="253" t="s">
        <v>384</v>
      </c>
      <c r="G1187" s="251">
        <v>0</v>
      </c>
      <c r="H1187" s="251">
        <v>2278528</v>
      </c>
    </row>
    <row r="1188" spans="3:8" ht="15">
      <c r="C1188" s="310"/>
      <c r="D1188" s="228"/>
      <c r="G1188" s="259">
        <f>SUM(G1186:G1187)</f>
        <v>0</v>
      </c>
      <c r="H1188" s="259">
        <f>SUM(H1186:H1187)</f>
        <v>2278528</v>
      </c>
    </row>
    <row r="1189" spans="3:8" ht="12.75">
      <c r="C1189" s="310"/>
      <c r="D1189" s="228"/>
      <c r="G1189" s="194"/>
      <c r="H1189" s="194"/>
    </row>
    <row r="1190" spans="3:8" ht="12.75">
      <c r="C1190" s="310"/>
      <c r="D1190" s="228" t="s">
        <v>1097</v>
      </c>
      <c r="G1190" s="194"/>
      <c r="H1190" s="194"/>
    </row>
    <row r="1191" spans="3:8" ht="12.75">
      <c r="C1191" s="310"/>
      <c r="D1191" s="228" t="s">
        <v>1098</v>
      </c>
      <c r="G1191" s="194"/>
      <c r="H1191" s="194"/>
    </row>
    <row r="1192" spans="3:8" ht="12.75">
      <c r="C1192" s="310"/>
      <c r="D1192" s="228" t="s">
        <v>1099</v>
      </c>
      <c r="G1192" s="194"/>
      <c r="H1192" s="194"/>
    </row>
    <row r="1193" spans="3:8" ht="12.75">
      <c r="C1193" s="310"/>
      <c r="D1193" s="228" t="s">
        <v>1408</v>
      </c>
      <c r="G1193" s="194"/>
      <c r="H1193" s="194"/>
    </row>
    <row r="1194" spans="3:8" ht="12.75">
      <c r="C1194" s="310"/>
      <c r="D1194" s="228"/>
      <c r="G1194" s="194"/>
      <c r="H1194" s="194"/>
    </row>
    <row r="1195" spans="3:8" ht="12.75">
      <c r="C1195" s="310"/>
      <c r="D1195" s="228" t="s">
        <v>387</v>
      </c>
      <c r="G1195" s="194"/>
      <c r="H1195" s="194"/>
    </row>
    <row r="1196" spans="3:8" ht="12.75">
      <c r="C1196" s="310"/>
      <c r="D1196" s="228" t="s">
        <v>1179</v>
      </c>
      <c r="G1196" s="194"/>
      <c r="H1196" s="194"/>
    </row>
    <row r="1197" spans="3:8" ht="12.75">
      <c r="C1197" s="310"/>
      <c r="G1197" s="194"/>
      <c r="H1197" s="194"/>
    </row>
    <row r="1198" spans="3:8" ht="12.75">
      <c r="C1198" s="310"/>
      <c r="D1198" s="228"/>
      <c r="G1198" s="194"/>
      <c r="H1198" s="194"/>
    </row>
    <row r="1199" spans="3:8" ht="12.75">
      <c r="C1199" s="228"/>
      <c r="D1199" s="228"/>
      <c r="G1199" s="194"/>
      <c r="H1199" s="194"/>
    </row>
    <row r="1200" spans="3:8" ht="12.75">
      <c r="C1200" s="228"/>
      <c r="D1200" s="225" t="s">
        <v>388</v>
      </c>
      <c r="G1200" s="194"/>
      <c r="H1200" s="194"/>
    </row>
    <row r="1201" spans="3:8" ht="12.75">
      <c r="C1201" s="310"/>
      <c r="D1201" s="228"/>
      <c r="G1201" s="194"/>
      <c r="H1201" s="194"/>
    </row>
    <row r="1202" spans="3:8" ht="12.75">
      <c r="C1202" s="307" t="s">
        <v>53</v>
      </c>
      <c r="D1202" s="225" t="s">
        <v>818</v>
      </c>
      <c r="G1202" s="194"/>
      <c r="H1202" s="194"/>
    </row>
    <row r="1203" spans="3:8" ht="12.75">
      <c r="C1203" s="307"/>
      <c r="D1203" s="225" t="s">
        <v>497</v>
      </c>
      <c r="G1203" s="194"/>
      <c r="H1203" s="194"/>
    </row>
    <row r="1204" spans="3:8" ht="12.75">
      <c r="C1204" s="307"/>
      <c r="D1204" s="225"/>
      <c r="G1204" s="194"/>
      <c r="H1204" s="194"/>
    </row>
    <row r="1205" spans="3:8" ht="15">
      <c r="C1205" s="310"/>
      <c r="D1205" s="228" t="s">
        <v>385</v>
      </c>
      <c r="G1205" s="251">
        <f>G897</f>
        <v>25633091.667130005</v>
      </c>
      <c r="H1205" s="251">
        <f>H897</f>
        <v>22410160.979640007</v>
      </c>
    </row>
    <row r="1206" spans="3:8" ht="12.75">
      <c r="C1206" s="310"/>
      <c r="D1206" s="228" t="s">
        <v>386</v>
      </c>
      <c r="G1206" s="194">
        <f>G1205*0.3</f>
        <v>7689927.500139001</v>
      </c>
      <c r="H1206" s="194">
        <f>H1205*0.3</f>
        <v>6723048.293892002</v>
      </c>
    </row>
    <row r="1207" spans="3:8" ht="12.75">
      <c r="C1207" s="310"/>
      <c r="D1207" s="228" t="s">
        <v>1180</v>
      </c>
      <c r="G1207" s="194">
        <v>0</v>
      </c>
      <c r="H1207" s="194">
        <v>0</v>
      </c>
    </row>
    <row r="1208" spans="3:8" ht="12.75">
      <c r="C1208" s="310"/>
      <c r="D1208" s="222" t="s">
        <v>1411</v>
      </c>
      <c r="G1208" s="194"/>
      <c r="H1208" s="194"/>
    </row>
    <row r="1209" spans="3:8" ht="12.75">
      <c r="C1209" s="310"/>
      <c r="D1209" s="228" t="s">
        <v>1564</v>
      </c>
      <c r="G1209" s="194"/>
      <c r="H1209" s="194">
        <v>526060</v>
      </c>
    </row>
    <row r="1210" spans="3:8" ht="12.75">
      <c r="C1210" s="310"/>
      <c r="D1210" s="228" t="s">
        <v>1412</v>
      </c>
      <c r="G1210" s="194"/>
      <c r="H1210" s="194">
        <v>-5949659</v>
      </c>
    </row>
    <row r="1211" spans="3:8" ht="12.75">
      <c r="C1211" s="310"/>
      <c r="D1211" s="228" t="s">
        <v>1413</v>
      </c>
      <c r="G1211" s="194"/>
      <c r="H1211" s="194">
        <v>0</v>
      </c>
    </row>
    <row r="1212" spans="3:8" ht="15">
      <c r="C1212" s="310"/>
      <c r="D1212" s="228" t="s">
        <v>1414</v>
      </c>
      <c r="G1212" s="251">
        <v>0</v>
      </c>
      <c r="H1212" s="251">
        <v>119</v>
      </c>
    </row>
    <row r="1213" spans="3:8" ht="15">
      <c r="C1213" s="310"/>
      <c r="D1213" s="228" t="s">
        <v>496</v>
      </c>
      <c r="G1213" s="251">
        <v>0</v>
      </c>
      <c r="H1213" s="251">
        <f>SUM(H1206:H1212)</f>
        <v>1299568.2938920017</v>
      </c>
    </row>
    <row r="1214" spans="3:8" ht="15">
      <c r="C1214" s="310"/>
      <c r="D1214" s="225" t="s">
        <v>383</v>
      </c>
      <c r="G1214" s="259">
        <f>SUM(G1206:G1213)</f>
        <v>7689927.500139001</v>
      </c>
      <c r="H1214" s="259">
        <v>0</v>
      </c>
    </row>
    <row r="1215" spans="3:8" ht="12.75">
      <c r="C1215" s="310"/>
      <c r="D1215" s="228"/>
      <c r="G1215" s="194"/>
      <c r="H1215" s="194"/>
    </row>
    <row r="1216" spans="3:8" ht="12.75">
      <c r="C1216" s="307" t="s">
        <v>54</v>
      </c>
      <c r="D1216" s="225" t="s">
        <v>608</v>
      </c>
      <c r="G1216" s="194"/>
      <c r="H1216" s="194"/>
    </row>
    <row r="1217" spans="3:8" ht="12.75">
      <c r="C1217" s="310"/>
      <c r="D1217" s="228"/>
      <c r="G1217" s="194"/>
      <c r="H1217" s="194"/>
    </row>
    <row r="1218" spans="3:8" ht="12.75">
      <c r="C1218" s="310"/>
      <c r="D1218" s="228" t="s">
        <v>382</v>
      </c>
      <c r="G1218" s="194"/>
      <c r="H1218" s="194">
        <v>23925943</v>
      </c>
    </row>
    <row r="1219" spans="3:8" ht="15">
      <c r="C1219" s="310"/>
      <c r="D1219" s="228" t="s">
        <v>609</v>
      </c>
      <c r="G1219" s="251">
        <v>0</v>
      </c>
      <c r="H1219" s="251">
        <v>0</v>
      </c>
    </row>
    <row r="1220" spans="3:8" ht="15">
      <c r="C1220" s="310"/>
      <c r="D1220" s="228"/>
      <c r="G1220" s="251">
        <f>SUM(G1218:G1219)</f>
        <v>0</v>
      </c>
      <c r="H1220" s="251">
        <f>SUM(H1218:H1219)</f>
        <v>23925943</v>
      </c>
    </row>
    <row r="1221" spans="3:8" ht="12.75">
      <c r="C1221" s="310"/>
      <c r="D1221" s="228" t="s">
        <v>1100</v>
      </c>
      <c r="G1221" s="194">
        <f>G1220*0.3</f>
        <v>0</v>
      </c>
      <c r="H1221" s="194">
        <f>H1220*0.3</f>
        <v>7177782.899999999</v>
      </c>
    </row>
    <row r="1222" spans="3:8" ht="15">
      <c r="C1222" s="310"/>
      <c r="D1222" s="228" t="s">
        <v>51</v>
      </c>
      <c r="G1222" s="251"/>
      <c r="H1222" s="251">
        <v>-5286361</v>
      </c>
    </row>
    <row r="1223" spans="3:8" ht="15">
      <c r="C1223" s="310"/>
      <c r="D1223" s="225" t="s">
        <v>639</v>
      </c>
      <c r="G1223" s="259">
        <f>SUM(G1221:G1222)</f>
        <v>0</v>
      </c>
      <c r="H1223" s="259">
        <f>SUM(H1221:H1222)</f>
        <v>1891421.8999999994</v>
      </c>
    </row>
    <row r="1224" spans="3:8" ht="12.75">
      <c r="C1224" s="310"/>
      <c r="D1224" s="228"/>
      <c r="G1224" s="194"/>
      <c r="H1224" s="194"/>
    </row>
    <row r="1225" spans="3:8" ht="12.75">
      <c r="C1225" s="307" t="s">
        <v>1601</v>
      </c>
      <c r="D1225" s="225" t="s">
        <v>1602</v>
      </c>
      <c r="G1225" s="194"/>
      <c r="H1225" s="194"/>
    </row>
    <row r="1226" spans="3:8" ht="12.75">
      <c r="C1226" s="310"/>
      <c r="D1226" s="228"/>
      <c r="G1226" s="194"/>
      <c r="H1226" s="194"/>
    </row>
    <row r="1227" spans="3:8" ht="12.75">
      <c r="C1227" s="310"/>
      <c r="D1227" s="228" t="s">
        <v>1545</v>
      </c>
      <c r="G1227" s="194">
        <f>H1231</f>
        <v>461917</v>
      </c>
      <c r="H1227" s="194">
        <v>-26552</v>
      </c>
    </row>
    <row r="1228" spans="3:8" ht="12.75">
      <c r="C1228" s="310"/>
      <c r="D1228" s="228" t="s">
        <v>1603</v>
      </c>
      <c r="G1228" s="194">
        <f>G899</f>
        <v>9661782.846</v>
      </c>
      <c r="H1228" s="194">
        <v>4816916</v>
      </c>
    </row>
    <row r="1229" spans="3:8" ht="12.75">
      <c r="C1229" s="310"/>
      <c r="D1229" s="228" t="s">
        <v>1604</v>
      </c>
      <c r="G1229" s="194">
        <f>G900</f>
        <v>0</v>
      </c>
      <c r="H1229" s="194">
        <v>73437</v>
      </c>
    </row>
    <row r="1230" spans="3:8" ht="15">
      <c r="C1230" s="310"/>
      <c r="D1230" s="228" t="s">
        <v>1605</v>
      </c>
      <c r="G1230" s="251">
        <v>-9845313</v>
      </c>
      <c r="H1230" s="251">
        <v>-4401884</v>
      </c>
    </row>
    <row r="1231" spans="3:8" ht="15">
      <c r="C1231" s="310"/>
      <c r="D1231" s="225" t="s">
        <v>1546</v>
      </c>
      <c r="G1231" s="259">
        <f>SUM(G1227:G1230)</f>
        <v>278386.84600000083</v>
      </c>
      <c r="H1231" s="259">
        <f>SUM(H1227:H1230)</f>
        <v>461917</v>
      </c>
    </row>
    <row r="1232" spans="3:8" ht="12.75">
      <c r="C1232" s="310"/>
      <c r="D1232" s="228"/>
      <c r="G1232" s="194"/>
      <c r="H1232" s="194"/>
    </row>
    <row r="1233" spans="3:8" ht="12.75">
      <c r="C1233" s="307" t="s">
        <v>1417</v>
      </c>
      <c r="D1233" s="225" t="s">
        <v>494</v>
      </c>
      <c r="G1233" s="194"/>
      <c r="H1233" s="194"/>
    </row>
    <row r="1234" spans="3:8" ht="12.75">
      <c r="C1234" s="291"/>
      <c r="D1234" s="228" t="s">
        <v>495</v>
      </c>
      <c r="G1234" s="194">
        <f>G891+G893</f>
        <v>345274.56292</v>
      </c>
      <c r="H1234" s="194">
        <f>H891+H893</f>
        <v>828523.8529099999</v>
      </c>
    </row>
    <row r="1235" spans="3:8" ht="15">
      <c r="C1235" s="291"/>
      <c r="D1235" s="228" t="s">
        <v>432</v>
      </c>
      <c r="G1235" s="251">
        <f>G892</f>
        <v>264191.59</v>
      </c>
      <c r="H1235" s="251">
        <f>H892</f>
        <v>341345.706</v>
      </c>
    </row>
    <row r="1236" spans="3:8" ht="15">
      <c r="C1236" s="291"/>
      <c r="D1236" s="225" t="s">
        <v>1207</v>
      </c>
      <c r="E1236" s="225"/>
      <c r="F1236" s="225"/>
      <c r="G1236" s="259">
        <f>SUM(G1234:G1235)</f>
        <v>609466.15292</v>
      </c>
      <c r="H1236" s="259">
        <f>SUM(H1234:H1235)</f>
        <v>1169869.55891</v>
      </c>
    </row>
    <row r="1237" spans="7:8" ht="12.75">
      <c r="G1237" s="194"/>
      <c r="H1237" s="194"/>
    </row>
    <row r="1238" spans="3:8" ht="12.75">
      <c r="C1238" s="307" t="s">
        <v>1418</v>
      </c>
      <c r="D1238" s="225" t="s">
        <v>46</v>
      </c>
      <c r="G1238" s="194"/>
      <c r="H1238" s="194"/>
    </row>
    <row r="1239" spans="3:8" ht="12.75">
      <c r="C1239" s="310"/>
      <c r="D1239" s="228" t="s">
        <v>47</v>
      </c>
      <c r="G1239" s="194"/>
      <c r="H1239" s="194"/>
    </row>
    <row r="1240" spans="3:8" ht="12.75">
      <c r="C1240" s="228"/>
      <c r="D1240" s="228" t="s">
        <v>48</v>
      </c>
      <c r="G1240" s="194"/>
      <c r="H1240" s="194">
        <v>28659</v>
      </c>
    </row>
    <row r="1241" spans="3:8" ht="12.75">
      <c r="C1241" s="228"/>
      <c r="D1241" s="228" t="s">
        <v>49</v>
      </c>
      <c r="G1241" s="194"/>
      <c r="H1241" s="194">
        <v>3060</v>
      </c>
    </row>
    <row r="1242" spans="3:8" ht="15">
      <c r="C1242" s="228"/>
      <c r="D1242" s="228" t="s">
        <v>819</v>
      </c>
      <c r="G1242" s="292"/>
      <c r="H1242" s="292">
        <v>68620</v>
      </c>
    </row>
    <row r="1243" spans="3:4" ht="12.75">
      <c r="C1243" s="228"/>
      <c r="D1243" s="228"/>
    </row>
    <row r="1246" spans="3:4" ht="12.75">
      <c r="C1246" s="225" t="s">
        <v>1759</v>
      </c>
      <c r="D1246" s="228"/>
    </row>
    <row r="1247" spans="3:4" ht="12.75">
      <c r="C1247" s="225"/>
      <c r="D1247" s="228"/>
    </row>
    <row r="1248" spans="3:4" ht="12.75">
      <c r="C1248" s="225" t="s">
        <v>93</v>
      </c>
      <c r="D1248" s="228"/>
    </row>
    <row r="1249" spans="3:4" ht="12.75">
      <c r="C1249" s="291" t="s">
        <v>691</v>
      </c>
      <c r="D1249" s="228"/>
    </row>
    <row r="1250" spans="3:4" ht="12.75">
      <c r="C1250" s="228"/>
      <c r="D1250" s="228"/>
    </row>
    <row r="1251" spans="3:4" ht="12.75">
      <c r="C1251" s="307" t="s">
        <v>1419</v>
      </c>
      <c r="D1251" s="311" t="s">
        <v>821</v>
      </c>
    </row>
    <row r="1252" spans="3:4" ht="12.75">
      <c r="C1252" s="312"/>
      <c r="D1252" s="313"/>
    </row>
    <row r="1253" spans="3:4" ht="12.75">
      <c r="C1253" s="314" t="s">
        <v>1191</v>
      </c>
      <c r="D1253" s="228" t="s">
        <v>1310</v>
      </c>
    </row>
    <row r="1254" spans="3:4" ht="12.75">
      <c r="C1254" s="314"/>
      <c r="D1254" s="228" t="s">
        <v>1311</v>
      </c>
    </row>
    <row r="1255" spans="3:4" ht="12.75">
      <c r="C1255" s="314"/>
      <c r="D1255" s="228" t="s">
        <v>1312</v>
      </c>
    </row>
    <row r="1256" spans="3:4" ht="12.75">
      <c r="C1256" s="314" t="s">
        <v>1192</v>
      </c>
      <c r="D1256" s="315" t="s">
        <v>1313</v>
      </c>
    </row>
    <row r="1257" spans="3:4" ht="12.75">
      <c r="C1257" s="314"/>
      <c r="D1257" s="228" t="s">
        <v>1311</v>
      </c>
    </row>
    <row r="1258" spans="3:4" ht="12.75">
      <c r="C1258" s="314"/>
      <c r="D1258" s="228" t="s">
        <v>1314</v>
      </c>
    </row>
    <row r="1259" spans="3:4" ht="12.75">
      <c r="C1259" s="314" t="s">
        <v>1193</v>
      </c>
      <c r="D1259" s="312" t="s">
        <v>1965</v>
      </c>
    </row>
    <row r="1260" spans="3:4" ht="12.75">
      <c r="C1260" s="314"/>
      <c r="D1260" s="312"/>
    </row>
    <row r="1261" spans="3:4" ht="12.75">
      <c r="C1261" s="314"/>
      <c r="D1261" s="312"/>
    </row>
    <row r="1262" spans="3:4" ht="12.75">
      <c r="C1262" s="307" t="s">
        <v>1423</v>
      </c>
      <c r="D1262" s="225" t="s">
        <v>1197</v>
      </c>
    </row>
    <row r="1263" spans="3:4" ht="12.75">
      <c r="C1263" s="310"/>
      <c r="D1263" s="228"/>
    </row>
    <row r="1264" spans="3:4" ht="12.75">
      <c r="C1264" s="310"/>
      <c r="D1264" s="228" t="s">
        <v>610</v>
      </c>
    </row>
    <row r="1265" spans="3:4" ht="12.75">
      <c r="C1265" s="310"/>
      <c r="D1265" s="228" t="s">
        <v>413</v>
      </c>
    </row>
    <row r="1266" spans="3:8" ht="12.75">
      <c r="C1266" s="310"/>
      <c r="D1266" s="228"/>
      <c r="G1266" s="248" t="s">
        <v>1079</v>
      </c>
      <c r="H1266" s="248" t="s">
        <v>1613</v>
      </c>
    </row>
    <row r="1267" spans="3:8" ht="12.75">
      <c r="C1267" s="310"/>
      <c r="D1267" s="228"/>
      <c r="G1267" s="248" t="s">
        <v>1113</v>
      </c>
      <c r="H1267" s="248" t="s">
        <v>1113</v>
      </c>
    </row>
    <row r="1268" spans="3:8" ht="12.75">
      <c r="C1268" s="310"/>
      <c r="D1268" s="228" t="s">
        <v>1896</v>
      </c>
      <c r="G1268" s="316">
        <f>G2293*0.001</f>
        <v>8149852.282000001</v>
      </c>
      <c r="H1268" s="316">
        <f>H2293*0.001</f>
        <v>10239221.71</v>
      </c>
    </row>
    <row r="1269" spans="3:8" ht="15">
      <c r="C1269" s="310"/>
      <c r="D1269" s="228" t="s">
        <v>1897</v>
      </c>
      <c r="G1269" s="317">
        <v>0</v>
      </c>
      <c r="H1269" s="317">
        <v>0</v>
      </c>
    </row>
    <row r="1270" spans="3:8" ht="17.25">
      <c r="C1270" s="310"/>
      <c r="D1270" s="238" t="s">
        <v>1207</v>
      </c>
      <c r="E1270" s="225"/>
      <c r="F1270" s="225"/>
      <c r="G1270" s="318">
        <f>SUM(G1268:G1269)</f>
        <v>8149852.282000001</v>
      </c>
      <c r="H1270" s="318">
        <f>SUM(H1268:H1269)</f>
        <v>10239221.71</v>
      </c>
    </row>
    <row r="1271" spans="3:4" ht="12.75">
      <c r="C1271" s="291"/>
      <c r="D1271" s="228"/>
    </row>
    <row r="1272" spans="3:4" ht="12.75">
      <c r="C1272" s="291"/>
      <c r="D1272" s="228"/>
    </row>
    <row r="1273" spans="3:4" ht="12.75">
      <c r="C1273" s="307" t="s">
        <v>1426</v>
      </c>
      <c r="D1273" s="225" t="s">
        <v>1933</v>
      </c>
    </row>
    <row r="1274" spans="3:4" ht="12.75">
      <c r="C1274" s="291"/>
      <c r="D1274" s="228"/>
    </row>
    <row r="1275" spans="3:8" ht="12.75">
      <c r="C1275" s="291"/>
      <c r="D1275" s="228" t="s">
        <v>1181</v>
      </c>
      <c r="G1275" s="194">
        <f>H1277</f>
        <v>211127</v>
      </c>
      <c r="H1275" s="194">
        <v>216567</v>
      </c>
    </row>
    <row r="1276" spans="3:8" ht="15">
      <c r="C1276" s="291"/>
      <c r="D1276" s="228" t="s">
        <v>417</v>
      </c>
      <c r="G1276" s="251">
        <v>0</v>
      </c>
      <c r="H1276" s="251">
        <v>-5440</v>
      </c>
    </row>
    <row r="1277" spans="3:8" ht="15">
      <c r="C1277" s="291"/>
      <c r="D1277" s="225" t="s">
        <v>1182</v>
      </c>
      <c r="E1277" s="225"/>
      <c r="F1277" s="225"/>
      <c r="G1277" s="259">
        <f>SUM(G1275:G1276)</f>
        <v>211127</v>
      </c>
      <c r="H1277" s="259">
        <f>SUM(H1275:H1276)</f>
        <v>211127</v>
      </c>
    </row>
    <row r="1278" spans="3:4" ht="12.75">
      <c r="C1278" s="291"/>
      <c r="D1278" s="228"/>
    </row>
    <row r="1280" spans="3:4" ht="12.75">
      <c r="C1280" s="307" t="s">
        <v>1815</v>
      </c>
      <c r="D1280" s="225" t="s">
        <v>1102</v>
      </c>
    </row>
    <row r="1281" spans="3:4" ht="12.75">
      <c r="C1281" s="310"/>
      <c r="D1281" s="228"/>
    </row>
    <row r="1282" spans="3:4" ht="12.75">
      <c r="C1282" s="310"/>
      <c r="D1282" s="228" t="s">
        <v>1183</v>
      </c>
    </row>
    <row r="1283" spans="3:4" ht="12.75">
      <c r="C1283" s="310"/>
      <c r="D1283" s="228"/>
    </row>
    <row r="1284" spans="3:4" ht="12.75">
      <c r="C1284" s="310"/>
      <c r="D1284" s="228"/>
    </row>
    <row r="1285" spans="3:8" ht="12.75">
      <c r="C1285" s="310"/>
      <c r="D1285" s="228" t="s">
        <v>1421</v>
      </c>
      <c r="G1285" s="194"/>
      <c r="H1285" s="194">
        <v>52520</v>
      </c>
    </row>
    <row r="1286" spans="4:8" ht="15">
      <c r="D1286" s="228" t="s">
        <v>1422</v>
      </c>
      <c r="G1286" s="251"/>
      <c r="H1286" s="251">
        <v>48350</v>
      </c>
    </row>
    <row r="1287" spans="4:8" ht="17.25">
      <c r="D1287" s="238" t="s">
        <v>1207</v>
      </c>
      <c r="E1287" s="238"/>
      <c r="F1287" s="238"/>
      <c r="G1287" s="239">
        <f>SUM(G1285:G1286)</f>
        <v>0</v>
      </c>
      <c r="H1287" s="239">
        <f>SUM(H1285:H1286)</f>
        <v>100870</v>
      </c>
    </row>
    <row r="1288" ht="12.75">
      <c r="D1288" s="228"/>
    </row>
    <row r="1290" spans="3:4" ht="12.75">
      <c r="C1290" s="307" t="s">
        <v>724</v>
      </c>
      <c r="D1290" s="225" t="s">
        <v>1103</v>
      </c>
    </row>
    <row r="1291" spans="3:4" ht="12.75">
      <c r="C1291" s="310"/>
      <c r="D1291" s="228"/>
    </row>
    <row r="1292" spans="3:4" ht="12.75">
      <c r="C1292" s="310"/>
      <c r="D1292" s="228" t="s">
        <v>1424</v>
      </c>
    </row>
    <row r="1293" spans="3:4" ht="12.75">
      <c r="C1293" s="310"/>
      <c r="D1293" s="228" t="s">
        <v>1184</v>
      </c>
    </row>
    <row r="1294" spans="3:4" ht="12.75">
      <c r="C1294" s="310"/>
      <c r="D1294" s="228" t="s">
        <v>1185</v>
      </c>
    </row>
    <row r="1295" spans="3:4" ht="12.75">
      <c r="C1295" s="310"/>
      <c r="D1295" s="228" t="s">
        <v>1186</v>
      </c>
    </row>
    <row r="1296" spans="3:4" ht="12.75">
      <c r="C1296" s="310"/>
      <c r="D1296" s="228" t="s">
        <v>1656</v>
      </c>
    </row>
    <row r="1297" spans="3:4" ht="12.75">
      <c r="C1297" s="310"/>
      <c r="D1297" s="228"/>
    </row>
    <row r="1298" spans="3:4" ht="12.75">
      <c r="C1298" s="228"/>
      <c r="D1298" s="228"/>
    </row>
    <row r="1299" spans="3:4" ht="12.75">
      <c r="C1299" s="307" t="s">
        <v>230</v>
      </c>
      <c r="D1299" s="225" t="s">
        <v>1330</v>
      </c>
    </row>
    <row r="1300" spans="3:4" ht="12.75">
      <c r="C1300" s="307"/>
      <c r="D1300" s="225"/>
    </row>
    <row r="1301" spans="3:4" ht="12.75">
      <c r="C1301" s="310"/>
      <c r="D1301" s="228" t="s">
        <v>1610</v>
      </c>
    </row>
    <row r="1302" spans="3:4" ht="12.75">
      <c r="C1302" s="310"/>
      <c r="D1302" s="228" t="s">
        <v>1657</v>
      </c>
    </row>
    <row r="1303" spans="3:4" ht="12.75">
      <c r="C1303" s="310"/>
      <c r="D1303" s="228" t="s">
        <v>1658</v>
      </c>
    </row>
    <row r="1304" spans="3:4" ht="12.75">
      <c r="C1304" s="310"/>
      <c r="D1304" s="228" t="s">
        <v>1813</v>
      </c>
    </row>
    <row r="1305" spans="3:4" ht="12.75">
      <c r="C1305" s="310"/>
      <c r="D1305" s="228" t="s">
        <v>1814</v>
      </c>
    </row>
    <row r="1306" spans="2:4" ht="15">
      <c r="B1306" s="169"/>
      <c r="C1306" s="314"/>
      <c r="D1306" s="312"/>
    </row>
    <row r="1307" spans="2:4" ht="12.75">
      <c r="B1307" s="166"/>
      <c r="C1307" s="291"/>
      <c r="D1307" s="228"/>
    </row>
    <row r="1308" spans="2:4" ht="12.75">
      <c r="B1308" s="166"/>
      <c r="C1308" s="225" t="s">
        <v>1759</v>
      </c>
      <c r="D1308" s="228"/>
    </row>
    <row r="1309" spans="2:4" ht="12.75">
      <c r="B1309" s="166"/>
      <c r="C1309" s="225"/>
      <c r="D1309" s="228"/>
    </row>
    <row r="1310" spans="2:4" ht="12.75">
      <c r="B1310" s="166"/>
      <c r="C1310" s="225" t="s">
        <v>93</v>
      </c>
      <c r="D1310" s="228"/>
    </row>
    <row r="1311" spans="3:4" ht="12.75">
      <c r="C1311" s="291" t="s">
        <v>1659</v>
      </c>
      <c r="D1311" s="228"/>
    </row>
    <row r="1312" spans="2:4" ht="15">
      <c r="B1312" s="169"/>
      <c r="C1312" s="291"/>
      <c r="D1312" s="228"/>
    </row>
    <row r="1313" spans="2:4" ht="12.75">
      <c r="B1313" s="166"/>
      <c r="C1313" s="228"/>
      <c r="D1313" s="228"/>
    </row>
    <row r="1314" spans="2:4" ht="12.75">
      <c r="B1314" s="166"/>
      <c r="C1314" s="307" t="s">
        <v>237</v>
      </c>
      <c r="D1314" s="225" t="s">
        <v>1101</v>
      </c>
    </row>
    <row r="1315" spans="2:4" ht="12.75">
      <c r="B1315" s="166"/>
      <c r="C1315" s="310"/>
      <c r="D1315" s="228"/>
    </row>
    <row r="1316" spans="2:4" ht="12.75">
      <c r="B1316" s="166"/>
      <c r="C1316" s="310"/>
      <c r="D1316" s="228" t="s">
        <v>1660</v>
      </c>
    </row>
    <row r="1317" spans="2:4" ht="12.75">
      <c r="B1317" s="166"/>
      <c r="C1317" s="310"/>
      <c r="D1317" s="228" t="s">
        <v>1817</v>
      </c>
    </row>
    <row r="1318" spans="2:4" ht="12.75">
      <c r="B1318" s="166"/>
      <c r="C1318" s="310"/>
      <c r="D1318" s="228" t="s">
        <v>389</v>
      </c>
    </row>
    <row r="1319" spans="2:4" ht="15">
      <c r="B1319" s="169"/>
      <c r="C1319" s="310"/>
      <c r="D1319" s="228" t="s">
        <v>1661</v>
      </c>
    </row>
    <row r="1320" spans="2:4" ht="12.75">
      <c r="B1320" s="166"/>
      <c r="C1320" s="310"/>
      <c r="D1320" s="228"/>
    </row>
    <row r="1321" spans="2:8" ht="12.75">
      <c r="B1321" s="166"/>
      <c r="C1321" s="248" t="s">
        <v>1191</v>
      </c>
      <c r="D1321" s="225" t="s">
        <v>887</v>
      </c>
      <c r="G1321" s="248" t="s">
        <v>1079</v>
      </c>
      <c r="H1321" s="248" t="s">
        <v>1613</v>
      </c>
    </row>
    <row r="1322" spans="2:8" ht="12.75">
      <c r="B1322" s="166"/>
      <c r="C1322" s="319"/>
      <c r="D1322" s="228"/>
      <c r="G1322" s="248" t="s">
        <v>1113</v>
      </c>
      <c r="H1322" s="248" t="s">
        <v>1113</v>
      </c>
    </row>
    <row r="1323" spans="2:8" ht="12.75">
      <c r="B1323" s="166"/>
      <c r="C1323" s="319"/>
      <c r="D1323" s="228"/>
      <c r="G1323" s="304"/>
      <c r="H1323" s="304"/>
    </row>
    <row r="1324" spans="2:8" ht="12.75">
      <c r="B1324" s="166"/>
      <c r="C1324" s="319"/>
      <c r="D1324" s="228" t="s">
        <v>392</v>
      </c>
      <c r="E1324" s="164" t="s">
        <v>390</v>
      </c>
      <c r="G1324" s="316">
        <v>8385491</v>
      </c>
      <c r="H1324" s="316">
        <v>7030568</v>
      </c>
    </row>
    <row r="1325" spans="2:8" ht="15">
      <c r="B1325" s="169"/>
      <c r="C1325" s="319"/>
      <c r="D1325" s="228"/>
      <c r="E1325" s="164" t="s">
        <v>837</v>
      </c>
      <c r="G1325" s="316">
        <v>25430767</v>
      </c>
      <c r="H1325" s="316">
        <v>8210459</v>
      </c>
    </row>
    <row r="1326" spans="2:8" ht="15">
      <c r="B1326" s="166"/>
      <c r="C1326" s="319"/>
      <c r="D1326" s="228" t="s">
        <v>391</v>
      </c>
      <c r="E1326" s="164" t="s">
        <v>1328</v>
      </c>
      <c r="G1326" s="317">
        <v>2732714</v>
      </c>
      <c r="H1326" s="317">
        <v>2716548</v>
      </c>
    </row>
    <row r="1327" spans="3:8" ht="15">
      <c r="C1327" s="319"/>
      <c r="D1327" s="228"/>
      <c r="E1327" s="225" t="s">
        <v>498</v>
      </c>
      <c r="F1327" s="225"/>
      <c r="G1327" s="320">
        <f>SUM(G1324:G1326)</f>
        <v>36548972</v>
      </c>
      <c r="H1327" s="320">
        <f>SUM(H1324:H1326)</f>
        <v>17957575</v>
      </c>
    </row>
    <row r="1328" spans="3:8" ht="12.75">
      <c r="C1328" s="319"/>
      <c r="D1328" s="228"/>
      <c r="G1328" s="316"/>
      <c r="H1328" s="316"/>
    </row>
    <row r="1329" spans="3:8" ht="12.75">
      <c r="C1329" s="319"/>
      <c r="D1329" s="228"/>
      <c r="G1329" s="316"/>
      <c r="H1329" s="316"/>
    </row>
    <row r="1330" spans="3:8" ht="12.75">
      <c r="C1330" s="248" t="s">
        <v>1192</v>
      </c>
      <c r="D1330" s="225" t="s">
        <v>888</v>
      </c>
      <c r="G1330" s="316"/>
      <c r="H1330" s="316"/>
    </row>
    <row r="1331" spans="2:8" ht="15">
      <c r="B1331" s="169"/>
      <c r="C1331" s="310"/>
      <c r="D1331" s="222" t="s">
        <v>838</v>
      </c>
      <c r="G1331" s="316"/>
      <c r="H1331" s="316"/>
    </row>
    <row r="1332" spans="3:8" ht="12.75">
      <c r="C1332" s="310"/>
      <c r="D1332" s="244" t="s">
        <v>1188</v>
      </c>
      <c r="G1332" s="316">
        <v>2716508</v>
      </c>
      <c r="H1332" s="316">
        <v>1756392</v>
      </c>
    </row>
    <row r="1333" spans="3:8" ht="12.75">
      <c r="C1333" s="310"/>
      <c r="D1333" s="244" t="s">
        <v>1189</v>
      </c>
      <c r="G1333" s="316">
        <v>7294</v>
      </c>
      <c r="H1333" s="316">
        <v>5688</v>
      </c>
    </row>
    <row r="1334" spans="3:8" ht="12.75">
      <c r="C1334" s="310"/>
      <c r="D1334" s="244" t="s">
        <v>1190</v>
      </c>
      <c r="G1334" s="316">
        <v>0</v>
      </c>
      <c r="H1334" s="316">
        <v>4161</v>
      </c>
    </row>
    <row r="1335" spans="3:8" ht="12.75">
      <c r="C1335" s="310"/>
      <c r="D1335" s="244" t="s">
        <v>1336</v>
      </c>
      <c r="G1335" s="316">
        <v>0</v>
      </c>
      <c r="H1335" s="316">
        <v>7584</v>
      </c>
    </row>
    <row r="1336" spans="3:8" ht="12.75">
      <c r="C1336" s="310"/>
      <c r="D1336" s="244" t="s">
        <v>1662</v>
      </c>
      <c r="G1336" s="316">
        <v>2540</v>
      </c>
      <c r="H1336" s="316">
        <v>0</v>
      </c>
    </row>
    <row r="1337" spans="3:8" ht="12.75">
      <c r="C1337" s="310"/>
      <c r="D1337" s="244"/>
      <c r="G1337" s="316"/>
      <c r="H1337" s="316"/>
    </row>
    <row r="1338" spans="3:4" ht="12.75">
      <c r="C1338" s="310"/>
      <c r="D1338" s="222" t="s">
        <v>720</v>
      </c>
    </row>
    <row r="1339" spans="3:8" ht="15">
      <c r="C1339" s="310"/>
      <c r="D1339" s="228" t="s">
        <v>721</v>
      </c>
      <c r="G1339" s="321">
        <v>0</v>
      </c>
      <c r="H1339" s="321">
        <v>2740</v>
      </c>
    </row>
    <row r="1340" spans="3:8" ht="12.75">
      <c r="C1340" s="310"/>
      <c r="D1340" s="228"/>
      <c r="G1340" s="316"/>
      <c r="H1340" s="316"/>
    </row>
    <row r="1341" spans="3:4" ht="12.75">
      <c r="C1341" s="310"/>
      <c r="D1341" s="222" t="s">
        <v>722</v>
      </c>
    </row>
    <row r="1342" spans="3:8" ht="15">
      <c r="C1342" s="310"/>
      <c r="D1342" s="228" t="s">
        <v>723</v>
      </c>
      <c r="G1342" s="321">
        <v>54244</v>
      </c>
      <c r="H1342" s="321">
        <v>20505</v>
      </c>
    </row>
    <row r="1343" spans="3:8" ht="12.75">
      <c r="C1343" s="310"/>
      <c r="D1343" s="228"/>
      <c r="G1343" s="316"/>
      <c r="H1343" s="316"/>
    </row>
    <row r="1344" spans="3:8" ht="12.75">
      <c r="C1344" s="248" t="s">
        <v>1193</v>
      </c>
      <c r="D1344" s="225" t="s">
        <v>1226</v>
      </c>
      <c r="G1344" s="316"/>
      <c r="H1344" s="316"/>
    </row>
    <row r="1345" spans="3:8" ht="12.75">
      <c r="C1345" s="310"/>
      <c r="D1345" s="228" t="s">
        <v>506</v>
      </c>
      <c r="G1345" s="316">
        <v>1838132</v>
      </c>
      <c r="H1345" s="316">
        <v>2027185</v>
      </c>
    </row>
    <row r="1346" spans="3:8" ht="12.75">
      <c r="C1346" s="310"/>
      <c r="D1346" s="228" t="s">
        <v>466</v>
      </c>
      <c r="G1346" s="316">
        <v>0</v>
      </c>
      <c r="H1346" s="316">
        <v>767023</v>
      </c>
    </row>
    <row r="1347" spans="3:8" ht="15">
      <c r="C1347" s="310"/>
      <c r="D1347" s="228" t="s">
        <v>507</v>
      </c>
      <c r="G1347" s="317">
        <v>39802</v>
      </c>
      <c r="H1347" s="317">
        <v>31550</v>
      </c>
    </row>
    <row r="1348" spans="3:8" ht="15">
      <c r="C1348" s="310"/>
      <c r="D1348" s="228"/>
      <c r="G1348" s="321">
        <f>SUM(G1345:G1347)</f>
        <v>1877934</v>
      </c>
      <c r="H1348" s="321">
        <f>SUM(H1345:H1347)</f>
        <v>2825758</v>
      </c>
    </row>
    <row r="1349" spans="3:8" ht="12.75">
      <c r="C1349" s="310"/>
      <c r="D1349" s="228"/>
      <c r="G1349" s="316"/>
      <c r="H1349" s="316"/>
    </row>
    <row r="1350" spans="3:4" ht="12.75">
      <c r="C1350" s="310"/>
      <c r="D1350" s="228"/>
    </row>
    <row r="1351" spans="3:4" ht="12.75">
      <c r="C1351" s="307" t="s">
        <v>240</v>
      </c>
      <c r="D1351" s="225" t="s">
        <v>414</v>
      </c>
    </row>
    <row r="1352" spans="3:4" ht="12.75">
      <c r="C1352" s="310"/>
      <c r="D1352" s="228"/>
    </row>
    <row r="1353" spans="2:4" ht="15">
      <c r="B1353" s="169"/>
      <c r="C1353" s="310"/>
      <c r="D1353" s="228" t="s">
        <v>725</v>
      </c>
    </row>
    <row r="1354" spans="3:4" ht="12.75">
      <c r="C1354" s="310"/>
      <c r="D1354" s="228" t="s">
        <v>889</v>
      </c>
    </row>
    <row r="1355" spans="3:4" ht="12.75">
      <c r="C1355" s="310"/>
      <c r="D1355" s="228"/>
    </row>
    <row r="1356" spans="2:4" ht="12.75">
      <c r="B1356" s="166"/>
      <c r="C1356" s="310"/>
      <c r="D1356" s="228"/>
    </row>
    <row r="1357" spans="2:4" ht="12.75">
      <c r="B1357" s="166"/>
      <c r="C1357" s="307" t="s">
        <v>1385</v>
      </c>
      <c r="D1357" s="225" t="s">
        <v>967</v>
      </c>
    </row>
    <row r="1358" spans="3:4" ht="12.75">
      <c r="C1358" s="310"/>
      <c r="D1358" s="228"/>
    </row>
    <row r="1359" spans="3:4" ht="12.75">
      <c r="C1359" s="310"/>
      <c r="D1359" s="228" t="s">
        <v>1227</v>
      </c>
    </row>
    <row r="1360" spans="3:4" ht="12.75">
      <c r="C1360" s="310"/>
      <c r="D1360" s="228" t="s">
        <v>1224</v>
      </c>
    </row>
    <row r="1361" spans="3:4" ht="12.75">
      <c r="C1361" s="228"/>
      <c r="D1361" s="228"/>
    </row>
    <row r="1362" spans="3:4" ht="12.75">
      <c r="C1362" s="228"/>
      <c r="D1362" s="228"/>
    </row>
    <row r="1363" spans="3:4" ht="12.75">
      <c r="C1363" s="307" t="s">
        <v>2046</v>
      </c>
      <c r="D1363" s="225" t="s">
        <v>393</v>
      </c>
    </row>
    <row r="1364" spans="3:4" ht="12.75">
      <c r="C1364" s="228"/>
      <c r="D1364" s="228"/>
    </row>
    <row r="1365" spans="2:4" ht="12.75">
      <c r="B1365" s="166"/>
      <c r="C1365" s="228"/>
      <c r="D1365" s="228" t="s">
        <v>238</v>
      </c>
    </row>
    <row r="1366" spans="2:4" ht="12.75">
      <c r="B1366" s="166"/>
      <c r="C1366" s="228"/>
      <c r="D1366" s="228" t="s">
        <v>890</v>
      </c>
    </row>
    <row r="1367" spans="2:4" ht="15">
      <c r="B1367" s="169"/>
      <c r="C1367" s="228"/>
      <c r="D1367" s="228" t="s">
        <v>1225</v>
      </c>
    </row>
    <row r="1368" spans="3:4" ht="12.75">
      <c r="C1368" s="228"/>
      <c r="D1368" s="228" t="s">
        <v>1911</v>
      </c>
    </row>
    <row r="1369" spans="3:4" ht="12.75">
      <c r="C1369" s="228"/>
      <c r="D1369" s="322" t="s">
        <v>1541</v>
      </c>
    </row>
    <row r="1370" spans="3:4" ht="12.75">
      <c r="C1370" s="228"/>
      <c r="D1370" s="322" t="s">
        <v>1198</v>
      </c>
    </row>
    <row r="1371" spans="3:4" ht="12.75">
      <c r="C1371" s="228"/>
      <c r="D1371" s="322" t="s">
        <v>501</v>
      </c>
    </row>
    <row r="1372" spans="3:4" ht="12.75">
      <c r="C1372" s="228"/>
      <c r="D1372" s="322" t="s">
        <v>503</v>
      </c>
    </row>
    <row r="1373" spans="3:4" ht="12.75">
      <c r="C1373" s="228"/>
      <c r="D1373" s="322"/>
    </row>
    <row r="1374" spans="3:4" ht="12.75">
      <c r="C1374" s="228"/>
      <c r="D1374" s="322" t="s">
        <v>502</v>
      </c>
    </row>
    <row r="1375" spans="3:8" ht="12.75">
      <c r="C1375" s="228"/>
      <c r="D1375" s="322"/>
      <c r="G1375" s="248" t="s">
        <v>1079</v>
      </c>
      <c r="H1375" s="248" t="s">
        <v>1613</v>
      </c>
    </row>
    <row r="1376" spans="7:8" ht="12.75">
      <c r="G1376" s="248" t="s">
        <v>1113</v>
      </c>
      <c r="H1376" s="248" t="s">
        <v>1113</v>
      </c>
    </row>
    <row r="1377" spans="4:8" ht="12.75">
      <c r="D1377" s="164" t="s">
        <v>1912</v>
      </c>
      <c r="G1377" s="316">
        <v>189927</v>
      </c>
      <c r="H1377" s="316">
        <v>114806</v>
      </c>
    </row>
    <row r="1378" spans="4:8" ht="12.75">
      <c r="D1378" s="164" t="s">
        <v>395</v>
      </c>
      <c r="G1378" s="316">
        <v>217438</v>
      </c>
      <c r="H1378" s="316">
        <v>140329</v>
      </c>
    </row>
    <row r="1379" spans="4:8" ht="15">
      <c r="D1379" s="164" t="s">
        <v>942</v>
      </c>
      <c r="G1379" s="317">
        <v>61614</v>
      </c>
      <c r="H1379" s="317">
        <v>42463</v>
      </c>
    </row>
    <row r="1380" spans="4:8" ht="17.25">
      <c r="D1380" s="164" t="s">
        <v>943</v>
      </c>
      <c r="F1380" s="238"/>
      <c r="G1380" s="318">
        <f>SUM(G1377:G1379)</f>
        <v>468979</v>
      </c>
      <c r="H1380" s="318">
        <f>SUM(H1377:H1379)</f>
        <v>297598</v>
      </c>
    </row>
    <row r="1383" spans="3:4" ht="12.75">
      <c r="C1383" s="307" t="s">
        <v>935</v>
      </c>
      <c r="D1383" s="225" t="s">
        <v>509</v>
      </c>
    </row>
    <row r="1385" ht="12.75">
      <c r="D1385" s="164" t="s">
        <v>1913</v>
      </c>
    </row>
    <row r="1386" ht="12.75">
      <c r="D1386" s="164" t="s">
        <v>1914</v>
      </c>
    </row>
    <row r="1387" ht="12.75">
      <c r="D1387" s="164" t="s">
        <v>1915</v>
      </c>
    </row>
    <row r="1388" ht="12.75">
      <c r="D1388" s="164" t="s">
        <v>1646</v>
      </c>
    </row>
    <row r="1390" spans="4:8" ht="15">
      <c r="D1390" s="164" t="s">
        <v>1647</v>
      </c>
      <c r="G1390" s="292">
        <v>242617</v>
      </c>
      <c r="H1390" s="292">
        <v>186159</v>
      </c>
    </row>
    <row r="1391" spans="7:8" ht="12.75">
      <c r="G1391" s="194"/>
      <c r="H1391" s="194"/>
    </row>
    <row r="1392" spans="4:8" ht="12.75">
      <c r="D1392" s="164" t="s">
        <v>1648</v>
      </c>
      <c r="G1392" s="194"/>
      <c r="H1392" s="194"/>
    </row>
    <row r="1393" spans="4:8" ht="12.75">
      <c r="D1393" s="164" t="s">
        <v>1649</v>
      </c>
      <c r="G1393" s="194"/>
      <c r="H1393" s="194"/>
    </row>
    <row r="1394" spans="7:8" ht="12.75">
      <c r="G1394" s="194"/>
      <c r="H1394" s="194"/>
    </row>
    <row r="1395" spans="4:8" ht="15">
      <c r="D1395" s="164" t="s">
        <v>510</v>
      </c>
      <c r="G1395" s="292">
        <v>603248</v>
      </c>
      <c r="H1395" s="292">
        <v>450848</v>
      </c>
    </row>
    <row r="1396" spans="7:8" ht="12.75">
      <c r="G1396" s="194"/>
      <c r="H1396" s="194"/>
    </row>
    <row r="1397" spans="4:8" ht="12.75">
      <c r="D1397" s="164" t="s">
        <v>1650</v>
      </c>
      <c r="G1397" s="194"/>
      <c r="H1397" s="194"/>
    </row>
    <row r="1398" spans="4:8" ht="12.75">
      <c r="D1398" s="164" t="s">
        <v>1651</v>
      </c>
      <c r="G1398" s="194"/>
      <c r="H1398" s="194"/>
    </row>
    <row r="1399" spans="7:8" ht="12.75">
      <c r="G1399" s="194"/>
      <c r="H1399" s="194"/>
    </row>
    <row r="1400" spans="4:8" ht="12.75">
      <c r="D1400" s="164" t="s">
        <v>1647</v>
      </c>
      <c r="G1400" s="194">
        <v>13315</v>
      </c>
      <c r="H1400" s="194">
        <v>34</v>
      </c>
    </row>
    <row r="1401" spans="4:8" ht="15">
      <c r="D1401" s="164" t="s">
        <v>510</v>
      </c>
      <c r="G1401" s="292">
        <v>42278</v>
      </c>
      <c r="H1401" s="292">
        <v>106</v>
      </c>
    </row>
    <row r="1406" spans="3:4" ht="12.75">
      <c r="C1406" s="225" t="s">
        <v>1759</v>
      </c>
      <c r="D1406" s="228"/>
    </row>
    <row r="1407" spans="2:4" ht="15">
      <c r="B1407" s="169"/>
      <c r="C1407" s="225"/>
      <c r="D1407" s="228"/>
    </row>
    <row r="1408" spans="3:4" ht="12.75">
      <c r="C1408" s="225" t="s">
        <v>1652</v>
      </c>
      <c r="D1408" s="228"/>
    </row>
    <row r="1409" spans="3:4" ht="12.75">
      <c r="C1409" s="291" t="s">
        <v>691</v>
      </c>
      <c r="D1409" s="228"/>
    </row>
    <row r="1410" spans="3:4" ht="12.75">
      <c r="C1410" s="228"/>
      <c r="D1410" s="228"/>
    </row>
    <row r="1411" spans="3:4" ht="12.75">
      <c r="C1411" s="307"/>
      <c r="D1411" s="225"/>
    </row>
    <row r="1412" spans="3:4" ht="12.75">
      <c r="C1412" s="307" t="s">
        <v>937</v>
      </c>
      <c r="D1412" s="225" t="s">
        <v>1201</v>
      </c>
    </row>
    <row r="1413" spans="3:4" ht="12.75">
      <c r="C1413" s="310"/>
      <c r="D1413" s="228"/>
    </row>
    <row r="1414" spans="3:4" ht="12.75">
      <c r="C1414" s="319" t="s">
        <v>1191</v>
      </c>
      <c r="D1414" s="225" t="s">
        <v>640</v>
      </c>
    </row>
    <row r="1415" spans="3:4" ht="12.75">
      <c r="C1415" s="319"/>
      <c r="D1415" s="228" t="s">
        <v>1653</v>
      </c>
    </row>
    <row r="1416" spans="3:4" ht="12.75">
      <c r="C1416" s="319"/>
      <c r="D1416" s="228" t="s">
        <v>1654</v>
      </c>
    </row>
    <row r="1417" spans="3:4" ht="12.75">
      <c r="C1417" s="319"/>
      <c r="D1417" s="228" t="s">
        <v>1655</v>
      </c>
    </row>
    <row r="1418" spans="3:4" ht="12.75">
      <c r="C1418" s="319"/>
      <c r="D1418" s="228"/>
    </row>
    <row r="1419" spans="3:4" ht="12.75">
      <c r="C1419" s="319" t="s">
        <v>1192</v>
      </c>
      <c r="D1419" s="225" t="s">
        <v>641</v>
      </c>
    </row>
    <row r="1420" spans="3:4" ht="12.75">
      <c r="C1420" s="319"/>
      <c r="D1420" s="228" t="s">
        <v>1031</v>
      </c>
    </row>
    <row r="1421" spans="3:4" ht="12.75">
      <c r="C1421" s="319"/>
      <c r="D1421" s="228" t="s">
        <v>1296</v>
      </c>
    </row>
    <row r="1422" spans="3:4" ht="12.75">
      <c r="C1422" s="319"/>
      <c r="D1422" s="228" t="s">
        <v>164</v>
      </c>
    </row>
    <row r="1423" spans="3:4" ht="12.75">
      <c r="C1423" s="319"/>
      <c r="D1423" s="225"/>
    </row>
    <row r="1424" spans="2:4" ht="15">
      <c r="B1424" s="169"/>
      <c r="C1424" s="319" t="s">
        <v>1193</v>
      </c>
      <c r="D1424" s="225" t="s">
        <v>642</v>
      </c>
    </row>
    <row r="1425" spans="2:4" ht="15">
      <c r="B1425" s="169"/>
      <c r="C1425" s="319"/>
      <c r="D1425" s="228" t="s">
        <v>1297</v>
      </c>
    </row>
    <row r="1426" spans="2:4" ht="12.75">
      <c r="B1426" s="166"/>
      <c r="C1426" s="319"/>
      <c r="D1426" s="228" t="s">
        <v>1298</v>
      </c>
    </row>
    <row r="1427" spans="2:4" ht="12.75">
      <c r="B1427" s="166"/>
      <c r="C1427" s="319"/>
      <c r="D1427" s="228"/>
    </row>
    <row r="1428" spans="2:4" ht="12.75">
      <c r="B1428" s="166"/>
      <c r="C1428" s="319" t="s">
        <v>1194</v>
      </c>
      <c r="D1428" s="225" t="s">
        <v>643</v>
      </c>
    </row>
    <row r="1429" spans="2:4" ht="12.75">
      <c r="B1429" s="166"/>
      <c r="C1429" s="319"/>
      <c r="D1429" s="228" t="s">
        <v>1299</v>
      </c>
    </row>
    <row r="1430" spans="2:4" ht="12.75">
      <c r="B1430" s="166"/>
      <c r="C1430" s="319"/>
      <c r="D1430" s="228" t="s">
        <v>1300</v>
      </c>
    </row>
    <row r="1431" spans="2:4" ht="12.75">
      <c r="B1431" s="166"/>
      <c r="C1431" s="319"/>
      <c r="D1431" s="228"/>
    </row>
    <row r="1432" spans="2:4" ht="12.75">
      <c r="B1432" s="166"/>
      <c r="C1432" s="319" t="s">
        <v>1196</v>
      </c>
      <c r="D1432" s="225" t="s">
        <v>644</v>
      </c>
    </row>
    <row r="1433" spans="2:4" ht="12.75">
      <c r="B1433" s="166"/>
      <c r="C1433" s="319"/>
      <c r="D1433" s="228" t="s">
        <v>1301</v>
      </c>
    </row>
    <row r="1434" spans="2:4" ht="12.75">
      <c r="B1434" s="166"/>
      <c r="C1434" s="319"/>
      <c r="D1434" s="228" t="s">
        <v>1302</v>
      </c>
    </row>
    <row r="1435" spans="2:4" ht="12.75">
      <c r="B1435" s="166"/>
      <c r="C1435" s="319"/>
      <c r="D1435" s="228" t="s">
        <v>1303</v>
      </c>
    </row>
    <row r="1436" spans="2:4" ht="12.75">
      <c r="B1436" s="166"/>
      <c r="C1436" s="319"/>
      <c r="D1436" s="228" t="s">
        <v>600</v>
      </c>
    </row>
    <row r="1437" spans="2:4" ht="12.75">
      <c r="B1437" s="166"/>
      <c r="C1437" s="319"/>
      <c r="D1437" s="228" t="s">
        <v>166</v>
      </c>
    </row>
    <row r="1440" spans="2:4" ht="12.75">
      <c r="B1440" s="166"/>
      <c r="C1440" s="307" t="s">
        <v>1304</v>
      </c>
      <c r="D1440" s="225" t="s">
        <v>50</v>
      </c>
    </row>
    <row r="1441" spans="2:4" ht="12.75">
      <c r="B1441" s="166"/>
      <c r="C1441" s="228"/>
      <c r="D1441" s="228"/>
    </row>
    <row r="1442" spans="2:4" ht="12.75">
      <c r="B1442" s="166"/>
      <c r="C1442" s="228"/>
      <c r="D1442" s="228" t="s">
        <v>1305</v>
      </c>
    </row>
    <row r="1443" spans="2:4" ht="12.75">
      <c r="B1443" s="166"/>
      <c r="C1443" s="228"/>
      <c r="D1443" s="228"/>
    </row>
    <row r="1444" spans="2:4" ht="12.75">
      <c r="B1444" s="166"/>
      <c r="C1444" s="307" t="s">
        <v>1306</v>
      </c>
      <c r="D1444" s="225" t="s">
        <v>1199</v>
      </c>
    </row>
    <row r="1445" spans="2:4" ht="12.75">
      <c r="B1445" s="166"/>
      <c r="C1445" s="228"/>
      <c r="D1445" s="228"/>
    </row>
    <row r="1446" spans="2:4" ht="12.75">
      <c r="B1446" s="166"/>
      <c r="C1446" s="228"/>
      <c r="D1446" s="228" t="s">
        <v>2047</v>
      </c>
    </row>
    <row r="1447" spans="2:4" ht="12.75">
      <c r="B1447" s="166"/>
      <c r="C1447" s="228"/>
      <c r="D1447" s="228"/>
    </row>
    <row r="1448" spans="3:4" ht="12.75">
      <c r="C1448" s="307" t="s">
        <v>1307</v>
      </c>
      <c r="D1448" s="225" t="s">
        <v>1200</v>
      </c>
    </row>
    <row r="1449" spans="3:4" ht="12.75">
      <c r="C1449" s="310"/>
      <c r="D1449" s="228"/>
    </row>
    <row r="1450" spans="3:4" ht="12.75">
      <c r="C1450" s="310"/>
      <c r="D1450" s="228" t="s">
        <v>936</v>
      </c>
    </row>
    <row r="1451" spans="3:4" ht="12.75">
      <c r="C1451" s="310"/>
      <c r="D1451" s="228"/>
    </row>
    <row r="1452" spans="3:4" ht="12.75">
      <c r="C1452" s="307" t="s">
        <v>1308</v>
      </c>
      <c r="D1452" s="225" t="s">
        <v>1104</v>
      </c>
    </row>
    <row r="1453" spans="3:4" ht="12.75">
      <c r="C1453" s="310"/>
      <c r="D1453" s="228"/>
    </row>
    <row r="1454" spans="3:4" ht="12.75">
      <c r="C1454" s="310"/>
      <c r="D1454" s="228" t="s">
        <v>1823</v>
      </c>
    </row>
    <row r="1455" spans="3:4" ht="12.75">
      <c r="C1455" s="310"/>
      <c r="D1455" s="228" t="s">
        <v>1824</v>
      </c>
    </row>
    <row r="1456" spans="2:4" ht="12.75">
      <c r="B1456" s="166"/>
      <c r="C1456" s="310"/>
      <c r="D1456" s="228"/>
    </row>
    <row r="1457" spans="3:4" ht="12.75">
      <c r="C1457" s="310"/>
      <c r="D1457" s="228"/>
    </row>
    <row r="1458" spans="2:4" ht="22.5">
      <c r="B1458" s="323"/>
      <c r="D1458" s="228"/>
    </row>
    <row r="1459" ht="15">
      <c r="B1459" s="169"/>
    </row>
    <row r="1460" ht="15">
      <c r="B1460" s="169"/>
    </row>
    <row r="1467" spans="1:8" ht="15">
      <c r="A1467" s="241"/>
      <c r="C1467" s="310"/>
      <c r="D1467" s="228"/>
      <c r="E1467" s="324"/>
      <c r="F1467" s="324"/>
      <c r="G1467" s="324"/>
      <c r="H1467" s="305"/>
    </row>
    <row r="1468" spans="1:8" ht="22.5">
      <c r="A1468" s="325" t="s">
        <v>1111</v>
      </c>
      <c r="C1468" s="310"/>
      <c r="D1468" s="228"/>
      <c r="E1468" s="324"/>
      <c r="F1468" s="324"/>
      <c r="G1468" s="324"/>
      <c r="H1468" s="305"/>
    </row>
    <row r="1469" spans="1:8" ht="15">
      <c r="A1469" s="166"/>
      <c r="C1469" s="310"/>
      <c r="D1469" s="228"/>
      <c r="E1469" s="324"/>
      <c r="F1469" s="324"/>
      <c r="G1469" s="324"/>
      <c r="H1469" s="305"/>
    </row>
    <row r="1470" spans="1:8" ht="15">
      <c r="A1470" s="326" t="s">
        <v>1825</v>
      </c>
      <c r="C1470" s="310"/>
      <c r="D1470" s="228"/>
      <c r="E1470" s="324"/>
      <c r="F1470" s="324"/>
      <c r="G1470" s="324"/>
      <c r="H1470" s="305"/>
    </row>
    <row r="1471" spans="3:8" ht="14.25">
      <c r="C1471" s="310"/>
      <c r="D1471" s="228"/>
      <c r="E1471" s="324"/>
      <c r="F1471" s="324"/>
      <c r="G1471" s="327">
        <v>2006</v>
      </c>
      <c r="H1471" s="328">
        <v>2005</v>
      </c>
    </row>
    <row r="1472" spans="3:8" ht="14.25">
      <c r="C1472" s="310"/>
      <c r="D1472" s="228"/>
      <c r="E1472" s="324"/>
      <c r="F1472" s="324"/>
      <c r="G1472" s="329" t="s">
        <v>939</v>
      </c>
      <c r="H1472" s="330" t="s">
        <v>939</v>
      </c>
    </row>
    <row r="1473" spans="2:8" ht="15">
      <c r="B1473" s="166"/>
      <c r="C1473" s="331"/>
      <c r="D1473" s="296"/>
      <c r="E1473" s="305"/>
      <c r="F1473" s="305"/>
      <c r="G1473" s="332"/>
      <c r="H1473" s="332"/>
    </row>
    <row r="1474" spans="2:8" ht="12.75">
      <c r="B1474" s="252"/>
      <c r="C1474" s="224">
        <v>300000</v>
      </c>
      <c r="D1474" s="225" t="s">
        <v>430</v>
      </c>
      <c r="E1474" s="333"/>
      <c r="F1474" s="333"/>
      <c r="G1474" s="333"/>
      <c r="H1474" s="333"/>
    </row>
    <row r="1475" spans="1:8" ht="12.75">
      <c r="A1475" s="334" t="s">
        <v>1995</v>
      </c>
      <c r="B1475" s="166"/>
      <c r="C1475" s="252"/>
      <c r="D1475" s="166" t="s">
        <v>1996</v>
      </c>
      <c r="E1475" s="333"/>
      <c r="F1475" s="333"/>
      <c r="G1475" s="335">
        <f>H150</f>
        <v>73086654814</v>
      </c>
      <c r="H1475" s="336">
        <v>63293839803</v>
      </c>
    </row>
    <row r="1476" spans="1:8" ht="12.75">
      <c r="A1476" s="334" t="s">
        <v>1997</v>
      </c>
      <c r="B1476" s="166"/>
      <c r="C1476" s="252"/>
      <c r="D1476" s="166" t="s">
        <v>1998</v>
      </c>
      <c r="E1476" s="333"/>
      <c r="F1476" s="333"/>
      <c r="G1476" s="335">
        <f>H151</f>
        <v>8711026380</v>
      </c>
      <c r="H1476" s="335">
        <v>6846339668</v>
      </c>
    </row>
    <row r="1477" spans="1:8" ht="15">
      <c r="A1477" s="334" t="s">
        <v>2011</v>
      </c>
      <c r="B1477" s="166"/>
      <c r="C1477" s="252"/>
      <c r="D1477" s="166" t="s">
        <v>2012</v>
      </c>
      <c r="E1477" s="333"/>
      <c r="F1477" s="333"/>
      <c r="G1477" s="337">
        <f>H158</f>
        <v>932319855</v>
      </c>
      <c r="H1477" s="338">
        <v>722019576</v>
      </c>
    </row>
    <row r="1478" spans="2:8" ht="12.75">
      <c r="B1478" s="166"/>
      <c r="C1478" s="245"/>
      <c r="D1478" s="244"/>
      <c r="E1478" s="333"/>
      <c r="F1478" s="333"/>
      <c r="G1478" s="335">
        <f>SUM(G1475:G1477)</f>
        <v>82730001049</v>
      </c>
      <c r="H1478" s="335">
        <f>SUM(H1475:H1477)</f>
        <v>70862199047</v>
      </c>
    </row>
    <row r="1479" spans="2:8" ht="15">
      <c r="B1479" s="166"/>
      <c r="C1479" s="245"/>
      <c r="D1479" s="244" t="s">
        <v>940</v>
      </c>
      <c r="E1479" s="333"/>
      <c r="F1479" s="333"/>
      <c r="G1479" s="338">
        <f>-G1500</f>
        <v>-2526761708.66</v>
      </c>
      <c r="H1479" s="338">
        <v>-1823573269.4299998</v>
      </c>
    </row>
    <row r="1480" spans="2:8" ht="15">
      <c r="B1480" s="166"/>
      <c r="C1480" s="245"/>
      <c r="D1480" s="236" t="s">
        <v>943</v>
      </c>
      <c r="E1480" s="339"/>
      <c r="F1480" s="339"/>
      <c r="G1480" s="340">
        <f>SUM(G1478:G1479)</f>
        <v>80203239340.34</v>
      </c>
      <c r="H1480" s="340">
        <f>SUM(H1478:H1479)</f>
        <v>69038625777.57</v>
      </c>
    </row>
    <row r="1481" spans="2:8" ht="12.75">
      <c r="B1481" s="166"/>
      <c r="C1481" s="245"/>
      <c r="D1481" s="244"/>
      <c r="E1481" s="333"/>
      <c r="F1481" s="333"/>
      <c r="G1481" s="335"/>
      <c r="H1481" s="335"/>
    </row>
    <row r="1482" spans="2:8" ht="12.75">
      <c r="B1482" s="341"/>
      <c r="C1482" s="221"/>
      <c r="D1482" s="222"/>
      <c r="E1482" s="342"/>
      <c r="F1482" s="333"/>
      <c r="G1482" s="343"/>
      <c r="H1482" s="343"/>
    </row>
    <row r="1483" spans="2:8" ht="12.75">
      <c r="B1483" s="341"/>
      <c r="C1483" s="221"/>
      <c r="D1483" s="225" t="s">
        <v>1293</v>
      </c>
      <c r="E1483" s="333"/>
      <c r="F1483" s="333"/>
      <c r="G1483" s="335"/>
      <c r="H1483" s="335"/>
    </row>
    <row r="1484" spans="2:8" ht="12.75">
      <c r="B1484" s="341"/>
      <c r="C1484" s="221">
        <v>301450</v>
      </c>
      <c r="D1484" s="222" t="s">
        <v>1294</v>
      </c>
      <c r="E1484" s="333"/>
      <c r="F1484" s="333"/>
      <c r="G1484" s="335"/>
      <c r="H1484" s="335"/>
    </row>
    <row r="1485" spans="1:8" ht="12.75">
      <c r="A1485" s="334" t="s">
        <v>1158</v>
      </c>
      <c r="B1485" s="334" t="s">
        <v>2036</v>
      </c>
      <c r="C1485" s="252"/>
      <c r="D1485" s="166" t="s">
        <v>1061</v>
      </c>
      <c r="E1485" s="333"/>
      <c r="F1485" s="333"/>
      <c r="G1485" s="335">
        <f>G217</f>
        <v>36074646.65</v>
      </c>
      <c r="H1485" s="335">
        <v>20321966.299999997</v>
      </c>
    </row>
    <row r="1486" spans="1:8" ht="12.75">
      <c r="A1486" s="334" t="s">
        <v>780</v>
      </c>
      <c r="B1486" s="334" t="s">
        <v>2036</v>
      </c>
      <c r="C1486" s="166"/>
      <c r="D1486" s="166" t="s">
        <v>204</v>
      </c>
      <c r="E1486" s="327"/>
      <c r="F1486" s="333"/>
      <c r="G1486" s="336">
        <f>G248</f>
        <v>2690318.05</v>
      </c>
      <c r="H1486" s="336">
        <v>2231820.1</v>
      </c>
    </row>
    <row r="1487" spans="1:8" ht="12.75">
      <c r="A1487" s="334" t="s">
        <v>209</v>
      </c>
      <c r="B1487" s="334" t="s">
        <v>2036</v>
      </c>
      <c r="C1487" s="166"/>
      <c r="D1487" s="166" t="s">
        <v>1347</v>
      </c>
      <c r="E1487" s="333"/>
      <c r="F1487" s="333"/>
      <c r="G1487" s="335">
        <f>G279</f>
        <v>8825258.94</v>
      </c>
      <c r="H1487" s="335">
        <v>5893591.199999999</v>
      </c>
    </row>
    <row r="1488" spans="1:8" ht="12.75">
      <c r="A1488" s="334" t="s">
        <v>1354</v>
      </c>
      <c r="B1488" s="334" t="s">
        <v>2036</v>
      </c>
      <c r="C1488" s="166"/>
      <c r="D1488" s="166" t="s">
        <v>903</v>
      </c>
      <c r="E1488" s="333"/>
      <c r="F1488" s="333"/>
      <c r="G1488" s="336">
        <f>G311</f>
        <v>729818.4</v>
      </c>
      <c r="H1488" s="336">
        <v>2728291.2</v>
      </c>
    </row>
    <row r="1489" spans="1:8" ht="12.75">
      <c r="A1489" s="334" t="s">
        <v>910</v>
      </c>
      <c r="B1489" s="334" t="s">
        <v>2036</v>
      </c>
      <c r="C1489" s="166"/>
      <c r="D1489" s="166" t="s">
        <v>985</v>
      </c>
      <c r="E1489" s="333"/>
      <c r="F1489" s="333"/>
      <c r="G1489" s="336">
        <f>G343</f>
        <v>3052208</v>
      </c>
      <c r="H1489" s="335">
        <v>2336728</v>
      </c>
    </row>
    <row r="1490" spans="1:8" ht="12.75">
      <c r="A1490" s="334" t="s">
        <v>990</v>
      </c>
      <c r="B1490" s="334" t="s">
        <v>2036</v>
      </c>
      <c r="C1490" s="166"/>
      <c r="D1490" s="166" t="s">
        <v>128</v>
      </c>
      <c r="E1490" s="333"/>
      <c r="F1490" s="333"/>
      <c r="G1490" s="336">
        <f>G369</f>
        <v>3301764.11</v>
      </c>
      <c r="H1490" s="336">
        <v>2127171.77</v>
      </c>
    </row>
    <row r="1491" spans="1:8" ht="15">
      <c r="A1491" s="334" t="s">
        <v>144</v>
      </c>
      <c r="B1491" s="334" t="s">
        <v>2036</v>
      </c>
      <c r="C1491" s="252"/>
      <c r="D1491" s="166" t="s">
        <v>830</v>
      </c>
      <c r="E1491" s="333"/>
      <c r="F1491" s="333"/>
      <c r="G1491" s="338">
        <f>G405</f>
        <v>7085583.66</v>
      </c>
      <c r="H1491" s="338">
        <v>3075000</v>
      </c>
    </row>
    <row r="1492" spans="1:8" ht="12.75">
      <c r="A1492" s="241"/>
      <c r="B1492" s="341"/>
      <c r="C1492" s="344"/>
      <c r="D1492" s="166"/>
      <c r="E1492" s="342"/>
      <c r="F1492" s="333"/>
      <c r="G1492" s="336"/>
      <c r="H1492" s="336"/>
    </row>
    <row r="1493" spans="2:8" ht="15">
      <c r="B1493" s="341"/>
      <c r="C1493" s="345"/>
      <c r="D1493" s="236" t="s">
        <v>943</v>
      </c>
      <c r="E1493" s="339"/>
      <c r="F1493" s="327"/>
      <c r="G1493" s="340">
        <f>SUM(G1485:G1492)</f>
        <v>61759597.80999999</v>
      </c>
      <c r="H1493" s="340">
        <f>SUM(H1485:H1492)</f>
        <v>38714568.57</v>
      </c>
    </row>
    <row r="1494" spans="2:8" ht="12.75">
      <c r="B1494" s="341"/>
      <c r="C1494" s="221"/>
      <c r="D1494" s="244"/>
      <c r="E1494" s="342"/>
      <c r="F1494" s="333"/>
      <c r="G1494" s="343"/>
      <c r="H1494" s="343"/>
    </row>
    <row r="1495" spans="2:8" ht="12.75">
      <c r="B1495" s="341"/>
      <c r="C1495" s="221"/>
      <c r="D1495" s="244"/>
      <c r="E1495" s="342"/>
      <c r="F1495" s="333"/>
      <c r="G1495" s="343"/>
      <c r="H1495" s="343"/>
    </row>
    <row r="1496" spans="2:8" ht="12.75">
      <c r="B1496" s="341"/>
      <c r="C1496" s="221">
        <v>301560</v>
      </c>
      <c r="D1496" s="222" t="s">
        <v>1295</v>
      </c>
      <c r="E1496" s="342"/>
      <c r="F1496" s="333"/>
      <c r="G1496" s="343"/>
      <c r="H1496" s="343"/>
    </row>
    <row r="1497" spans="1:8" ht="12.75">
      <c r="A1497" s="334" t="s">
        <v>595</v>
      </c>
      <c r="B1497" s="334" t="s">
        <v>1059</v>
      </c>
      <c r="C1497" s="252"/>
      <c r="D1497" s="166" t="s">
        <v>596</v>
      </c>
      <c r="E1497" s="342"/>
      <c r="F1497" s="333"/>
      <c r="G1497" s="343">
        <f>G563</f>
        <v>2177022108.66</v>
      </c>
      <c r="H1497" s="343">
        <v>1107032019</v>
      </c>
    </row>
    <row r="1498" spans="1:8" ht="15">
      <c r="A1498" s="334" t="s">
        <v>595</v>
      </c>
      <c r="B1498" s="334" t="s">
        <v>2036</v>
      </c>
      <c r="C1498" s="252"/>
      <c r="D1498" s="166" t="s">
        <v>597</v>
      </c>
      <c r="E1498" s="342"/>
      <c r="F1498" s="333"/>
      <c r="G1498" s="346">
        <f>G564</f>
        <v>349739600</v>
      </c>
      <c r="H1498" s="346">
        <v>716541251</v>
      </c>
    </row>
    <row r="1499" spans="5:8" ht="12.75">
      <c r="E1499" s="342"/>
      <c r="F1499" s="333"/>
      <c r="G1499" s="343"/>
      <c r="H1499" s="343"/>
    </row>
    <row r="1500" spans="2:8" ht="15">
      <c r="B1500" s="341"/>
      <c r="C1500" s="345"/>
      <c r="D1500" s="236" t="s">
        <v>943</v>
      </c>
      <c r="E1500" s="339"/>
      <c r="F1500" s="327"/>
      <c r="G1500" s="340">
        <f>SUM(G1497:G1499)</f>
        <v>2526761708.66</v>
      </c>
      <c r="H1500" s="340">
        <f>SUM(H1497:H1499)</f>
        <v>1823573270</v>
      </c>
    </row>
    <row r="1501" spans="2:8" ht="12.75">
      <c r="B1501" s="341"/>
      <c r="C1501" s="221"/>
      <c r="D1501" s="244"/>
      <c r="E1501" s="342"/>
      <c r="F1501" s="333"/>
      <c r="G1501" s="343"/>
      <c r="H1501" s="343"/>
    </row>
    <row r="1502" spans="2:8" ht="12.75">
      <c r="B1502" s="341"/>
      <c r="C1502" s="221"/>
      <c r="D1502" s="244"/>
      <c r="E1502" s="342"/>
      <c r="F1502" s="333"/>
      <c r="G1502" s="343"/>
      <c r="H1502" s="343"/>
    </row>
    <row r="1503" spans="2:8" ht="12.75">
      <c r="B1503" s="341"/>
      <c r="C1503" s="221">
        <v>301750</v>
      </c>
      <c r="D1503" s="222" t="s">
        <v>1682</v>
      </c>
      <c r="E1503" s="342"/>
      <c r="F1503" s="333"/>
      <c r="G1503" s="343"/>
      <c r="H1503" s="343"/>
    </row>
    <row r="1504" spans="1:8" ht="12.75">
      <c r="A1504" s="334" t="s">
        <v>2031</v>
      </c>
      <c r="B1504" s="334" t="s">
        <v>2036</v>
      </c>
      <c r="C1504" s="166"/>
      <c r="D1504" s="166" t="s">
        <v>2037</v>
      </c>
      <c r="E1504" s="342"/>
      <c r="F1504" s="333"/>
      <c r="G1504" s="336">
        <f>G171</f>
        <v>755878.3300000001</v>
      </c>
      <c r="H1504" s="336">
        <v>2050490</v>
      </c>
    </row>
    <row r="1505" spans="1:8" ht="12.75">
      <c r="A1505" s="334" t="s">
        <v>835</v>
      </c>
      <c r="B1505" s="334" t="s">
        <v>2036</v>
      </c>
      <c r="C1505" s="252"/>
      <c r="D1505" s="166" t="s">
        <v>1394</v>
      </c>
      <c r="E1505" s="324"/>
      <c r="F1505" s="333"/>
      <c r="G1505" s="336">
        <f>G412</f>
        <v>15983.79</v>
      </c>
      <c r="H1505" s="336">
        <v>255000</v>
      </c>
    </row>
    <row r="1506" spans="1:8" ht="12.75">
      <c r="A1506" s="334" t="s">
        <v>856</v>
      </c>
      <c r="B1506" s="334" t="s">
        <v>2036</v>
      </c>
      <c r="C1506" s="252"/>
      <c r="D1506" s="166" t="s">
        <v>862</v>
      </c>
      <c r="E1506" s="342"/>
      <c r="F1506" s="333"/>
      <c r="G1506" s="336">
        <f>G439</f>
        <v>16055652.57</v>
      </c>
      <c r="H1506" s="336">
        <v>2000180</v>
      </c>
    </row>
    <row r="1507" spans="1:8" ht="12.75">
      <c r="A1507" s="334" t="s">
        <v>863</v>
      </c>
      <c r="B1507" s="334" t="s">
        <v>2036</v>
      </c>
      <c r="C1507" s="252"/>
      <c r="D1507" s="166" t="s">
        <v>1230</v>
      </c>
      <c r="E1507" s="342"/>
      <c r="F1507" s="333"/>
      <c r="G1507" s="336">
        <f>G466</f>
        <v>19063.31</v>
      </c>
      <c r="H1507" s="336">
        <v>0</v>
      </c>
    </row>
    <row r="1508" spans="1:8" ht="12.75">
      <c r="A1508" s="334" t="s">
        <v>947</v>
      </c>
      <c r="B1508" s="334" t="s">
        <v>2036</v>
      </c>
      <c r="C1508" s="252"/>
      <c r="D1508" s="166" t="s">
        <v>637</v>
      </c>
      <c r="E1508" s="342"/>
      <c r="F1508" s="333"/>
      <c r="G1508" s="336">
        <f>G498</f>
        <v>4503154.59</v>
      </c>
      <c r="H1508" s="336">
        <v>3198508</v>
      </c>
    </row>
    <row r="1509" spans="1:8" ht="12.75">
      <c r="A1509" s="334" t="s">
        <v>22</v>
      </c>
      <c r="B1509" s="334" t="s">
        <v>2036</v>
      </c>
      <c r="C1509" s="252"/>
      <c r="D1509" s="166" t="s">
        <v>177</v>
      </c>
      <c r="E1509" s="342"/>
      <c r="F1509" s="333"/>
      <c r="G1509" s="336">
        <f>G529</f>
        <v>20363953.3</v>
      </c>
      <c r="H1509" s="336">
        <v>10893952</v>
      </c>
    </row>
    <row r="1510" spans="1:8" ht="12.75">
      <c r="A1510" s="334" t="s">
        <v>1247</v>
      </c>
      <c r="B1510" s="334" t="s">
        <v>2036</v>
      </c>
      <c r="C1510" s="252"/>
      <c r="D1510" s="166" t="s">
        <v>1249</v>
      </c>
      <c r="E1510" s="342"/>
      <c r="F1510" s="333"/>
      <c r="G1510" s="336">
        <f>G575</f>
        <v>33131982</v>
      </c>
      <c r="H1510" s="336">
        <v>30890257</v>
      </c>
    </row>
    <row r="1511" spans="1:8" ht="12.75">
      <c r="A1511" s="334" t="s">
        <v>1554</v>
      </c>
      <c r="B1511" s="334" t="s">
        <v>2036</v>
      </c>
      <c r="C1511" s="252"/>
      <c r="D1511" s="166" t="s">
        <v>1638</v>
      </c>
      <c r="E1511" s="342"/>
      <c r="F1511" s="333"/>
      <c r="G1511" s="336">
        <f>G596</f>
        <v>1689884.37</v>
      </c>
      <c r="H1511" s="336">
        <v>1760119</v>
      </c>
    </row>
    <row r="1512" spans="1:8" ht="15">
      <c r="A1512" s="334" t="s">
        <v>1554</v>
      </c>
      <c r="B1512" s="334" t="s">
        <v>2036</v>
      </c>
      <c r="C1512" s="227"/>
      <c r="D1512" s="166" t="s">
        <v>1683</v>
      </c>
      <c r="E1512" s="342"/>
      <c r="F1512" s="333"/>
      <c r="G1512" s="338">
        <f>G610</f>
        <v>39160724.739999995</v>
      </c>
      <c r="H1512" s="338">
        <v>51417155</v>
      </c>
    </row>
    <row r="1513" spans="2:8" ht="15">
      <c r="B1513" s="253"/>
      <c r="C1513" s="345"/>
      <c r="D1513" s="236" t="s">
        <v>943</v>
      </c>
      <c r="E1513" s="339"/>
      <c r="F1513" s="339"/>
      <c r="G1513" s="340">
        <f>SUM(G1504:G1512)</f>
        <v>115696277</v>
      </c>
      <c r="H1513" s="340">
        <f>SUM(H1504:H1512)</f>
        <v>102465661</v>
      </c>
    </row>
    <row r="1514" spans="2:8" ht="12.75">
      <c r="B1514" s="253"/>
      <c r="C1514" s="227"/>
      <c r="D1514" s="244"/>
      <c r="E1514" s="342"/>
      <c r="F1514" s="333"/>
      <c r="G1514" s="343"/>
      <c r="H1514" s="343"/>
    </row>
    <row r="1515" spans="2:8" ht="12.75">
      <c r="B1515" s="253"/>
      <c r="C1515" s="227"/>
      <c r="D1515" s="244"/>
      <c r="E1515" s="342"/>
      <c r="F1515" s="333"/>
      <c r="G1515" s="343"/>
      <c r="H1515" s="343"/>
    </row>
    <row r="1516" spans="2:8" ht="12.75">
      <c r="B1516" s="166"/>
      <c r="C1516" s="245"/>
      <c r="D1516" s="225" t="s">
        <v>1684</v>
      </c>
      <c r="E1516" s="333"/>
      <c r="F1516" s="333"/>
      <c r="G1516" s="343"/>
      <c r="H1516" s="343"/>
    </row>
    <row r="1517" spans="2:8" ht="12.75">
      <c r="B1517" s="341"/>
      <c r="C1517" s="221">
        <v>303300</v>
      </c>
      <c r="D1517" s="222" t="s">
        <v>1685</v>
      </c>
      <c r="E1517" s="333"/>
      <c r="F1517" s="333"/>
      <c r="G1517" s="343"/>
      <c r="H1517" s="343"/>
    </row>
    <row r="1518" spans="1:8" ht="12.75">
      <c r="A1518" s="334" t="s">
        <v>2017</v>
      </c>
      <c r="B1518" s="334" t="s">
        <v>2018</v>
      </c>
      <c r="C1518" s="252"/>
      <c r="D1518" s="166" t="s">
        <v>2019</v>
      </c>
      <c r="E1518" s="333"/>
      <c r="F1518" s="333"/>
      <c r="G1518" s="336">
        <f aca="true" t="shared" si="5" ref="G1518:G1524">G162</f>
        <v>55687947</v>
      </c>
      <c r="H1518" s="336">
        <v>1695045981</v>
      </c>
    </row>
    <row r="1519" spans="1:8" ht="12.75">
      <c r="A1519" s="334" t="s">
        <v>2020</v>
      </c>
      <c r="B1519" s="334" t="s">
        <v>2018</v>
      </c>
      <c r="C1519" s="166"/>
      <c r="D1519" s="166" t="s">
        <v>2021</v>
      </c>
      <c r="E1519" s="342"/>
      <c r="F1519" s="333"/>
      <c r="G1519" s="336">
        <f t="shared" si="5"/>
        <v>9173123532</v>
      </c>
      <c r="H1519" s="336">
        <v>10302866562</v>
      </c>
    </row>
    <row r="1520" spans="1:8" ht="12.75">
      <c r="A1520" s="334" t="s">
        <v>2022</v>
      </c>
      <c r="B1520" s="334" t="s">
        <v>2023</v>
      </c>
      <c r="C1520" s="252"/>
      <c r="D1520" s="166" t="s">
        <v>2024</v>
      </c>
      <c r="E1520" s="342"/>
      <c r="F1520" s="333"/>
      <c r="G1520" s="336">
        <f t="shared" si="5"/>
        <v>1989280438</v>
      </c>
      <c r="H1520" s="336">
        <v>2106687280</v>
      </c>
    </row>
    <row r="1521" spans="1:8" ht="12.75">
      <c r="A1521" s="334" t="s">
        <v>1070</v>
      </c>
      <c r="B1521" s="347" t="s">
        <v>2023</v>
      </c>
      <c r="C1521" s="252"/>
      <c r="D1521" s="348" t="s">
        <v>1071</v>
      </c>
      <c r="E1521" s="342"/>
      <c r="F1521" s="333"/>
      <c r="G1521" s="336">
        <f t="shared" si="5"/>
        <v>79116608</v>
      </c>
      <c r="H1521" s="336">
        <v>0</v>
      </c>
    </row>
    <row r="1522" spans="1:8" ht="12.75">
      <c r="A1522" s="334" t="s">
        <v>2025</v>
      </c>
      <c r="B1522" s="347" t="s">
        <v>2023</v>
      </c>
      <c r="C1522" s="252"/>
      <c r="D1522" s="348" t="s">
        <v>2026</v>
      </c>
      <c r="E1522" s="342"/>
      <c r="F1522" s="333"/>
      <c r="G1522" s="336">
        <f t="shared" si="5"/>
        <v>232568027</v>
      </c>
      <c r="H1522" s="336">
        <v>42434813</v>
      </c>
    </row>
    <row r="1523" spans="1:8" ht="12.75">
      <c r="A1523" s="334" t="s">
        <v>2027</v>
      </c>
      <c r="B1523" s="334" t="s">
        <v>2018</v>
      </c>
      <c r="C1523" s="252"/>
      <c r="D1523" s="166" t="s">
        <v>2028</v>
      </c>
      <c r="E1523" s="333"/>
      <c r="F1523" s="333"/>
      <c r="G1523" s="336">
        <f t="shared" si="5"/>
        <v>2724176463</v>
      </c>
      <c r="H1523" s="336">
        <v>2483556777</v>
      </c>
    </row>
    <row r="1524" spans="1:8" ht="15">
      <c r="A1524" s="334" t="s">
        <v>2029</v>
      </c>
      <c r="B1524" s="334" t="s">
        <v>2018</v>
      </c>
      <c r="C1524" s="252"/>
      <c r="D1524" s="166" t="s">
        <v>2030</v>
      </c>
      <c r="E1524" s="333"/>
      <c r="F1524" s="333"/>
      <c r="G1524" s="336">
        <f t="shared" si="5"/>
        <v>308118637</v>
      </c>
      <c r="H1524" s="338">
        <v>205166908</v>
      </c>
    </row>
    <row r="1525" spans="2:8" ht="15">
      <c r="B1525" s="341"/>
      <c r="C1525" s="345"/>
      <c r="D1525" s="236" t="s">
        <v>943</v>
      </c>
      <c r="E1525" s="339"/>
      <c r="F1525" s="327"/>
      <c r="G1525" s="340">
        <f>SUM(G1518:G1524)</f>
        <v>14562071652</v>
      </c>
      <c r="H1525" s="340">
        <f>SUM(H1518:H1524)</f>
        <v>16835758321</v>
      </c>
    </row>
    <row r="1526" spans="2:8" ht="12.75">
      <c r="B1526" s="166"/>
      <c r="C1526" s="245"/>
      <c r="D1526" s="244"/>
      <c r="E1526" s="333"/>
      <c r="F1526" s="333"/>
      <c r="G1526" s="343"/>
      <c r="H1526" s="343"/>
    </row>
    <row r="1527" spans="5:8" ht="12.75">
      <c r="E1527" s="333"/>
      <c r="F1527" s="333"/>
      <c r="G1527" s="335"/>
      <c r="H1527" s="335"/>
    </row>
    <row r="1528" spans="2:8" ht="12.75">
      <c r="B1528" s="341"/>
      <c r="C1528" s="221">
        <v>303310</v>
      </c>
      <c r="D1528" s="222" t="s">
        <v>1686</v>
      </c>
      <c r="E1528" s="333"/>
      <c r="F1528" s="333"/>
      <c r="G1528" s="335"/>
      <c r="H1528" s="335"/>
    </row>
    <row r="1529" spans="1:8" ht="12.75">
      <c r="A1529" s="334" t="s">
        <v>2031</v>
      </c>
      <c r="B1529" s="334" t="s">
        <v>2032</v>
      </c>
      <c r="C1529" s="166"/>
      <c r="D1529" s="166" t="s">
        <v>2033</v>
      </c>
      <c r="E1529" s="342"/>
      <c r="F1529" s="333"/>
      <c r="G1529" s="336">
        <f>G169</f>
        <v>2834529497.59</v>
      </c>
      <c r="H1529" s="336">
        <v>2717523562</v>
      </c>
    </row>
    <row r="1530" spans="1:8" ht="12.75">
      <c r="A1530" s="334" t="s">
        <v>2031</v>
      </c>
      <c r="B1530" s="334" t="s">
        <v>2034</v>
      </c>
      <c r="C1530" s="166"/>
      <c r="D1530" s="166" t="s">
        <v>2035</v>
      </c>
      <c r="E1530" s="222"/>
      <c r="G1530" s="336">
        <f>G170</f>
        <v>224566.16</v>
      </c>
      <c r="H1530" s="349">
        <v>204713</v>
      </c>
    </row>
    <row r="1531" spans="1:8" ht="15">
      <c r="A1531" s="334" t="s">
        <v>2038</v>
      </c>
      <c r="B1531" s="334" t="s">
        <v>2032</v>
      </c>
      <c r="C1531" s="252"/>
      <c r="D1531" s="166" t="s">
        <v>2039</v>
      </c>
      <c r="E1531" s="357"/>
      <c r="G1531" s="350">
        <f>G172</f>
        <v>123020095</v>
      </c>
      <c r="H1531" s="350">
        <v>1834945</v>
      </c>
    </row>
    <row r="1532" spans="2:8" ht="15">
      <c r="B1532" s="166"/>
      <c r="C1532" s="224"/>
      <c r="D1532" s="236" t="s">
        <v>943</v>
      </c>
      <c r="E1532" s="236"/>
      <c r="F1532" s="225"/>
      <c r="G1532" s="351">
        <f>SUM(G1529:G1531)</f>
        <v>2957774158.75</v>
      </c>
      <c r="H1532" s="351">
        <f>SUM(H1529:H1531)</f>
        <v>2719563220</v>
      </c>
    </row>
    <row r="1533" spans="2:8" ht="12.75">
      <c r="B1533" s="166"/>
      <c r="C1533" s="245"/>
      <c r="D1533" s="244"/>
      <c r="E1533" s="244"/>
      <c r="G1533" s="352"/>
      <c r="H1533" s="352"/>
    </row>
    <row r="1534" spans="2:8" ht="12.75">
      <c r="B1534" s="341"/>
      <c r="C1534" s="221">
        <v>303320</v>
      </c>
      <c r="D1534" s="222" t="s">
        <v>1687</v>
      </c>
      <c r="E1534" s="222"/>
      <c r="G1534" s="353"/>
      <c r="H1534" s="353"/>
    </row>
    <row r="1535" spans="1:8" ht="12.75">
      <c r="A1535" s="334" t="s">
        <v>2040</v>
      </c>
      <c r="B1535" s="334" t="s">
        <v>2041</v>
      </c>
      <c r="C1535" s="252"/>
      <c r="D1535" s="166" t="s">
        <v>2042</v>
      </c>
      <c r="E1535" s="244"/>
      <c r="G1535" s="352">
        <f aca="true" t="shared" si="6" ref="G1535:G1540">G173</f>
        <v>162079555.14</v>
      </c>
      <c r="H1535" s="352">
        <v>196917205</v>
      </c>
    </row>
    <row r="1536" spans="1:8" ht="12.75">
      <c r="A1536" s="334" t="s">
        <v>2040</v>
      </c>
      <c r="B1536" s="334" t="s">
        <v>2023</v>
      </c>
      <c r="C1536" s="252"/>
      <c r="D1536" s="166" t="s">
        <v>2043</v>
      </c>
      <c r="E1536" s="244"/>
      <c r="G1536" s="352">
        <f t="shared" si="6"/>
        <v>117018435.67</v>
      </c>
      <c r="H1536" s="352">
        <v>86989254</v>
      </c>
    </row>
    <row r="1537" spans="1:8" ht="12.75">
      <c r="A1537" s="334" t="s">
        <v>2040</v>
      </c>
      <c r="B1537" s="334" t="s">
        <v>2044</v>
      </c>
      <c r="C1537" s="252"/>
      <c r="D1537" s="166" t="s">
        <v>1694</v>
      </c>
      <c r="E1537" s="244"/>
      <c r="G1537" s="352">
        <f t="shared" si="6"/>
        <v>1144142960.98</v>
      </c>
      <c r="H1537" s="352">
        <v>1116667976</v>
      </c>
    </row>
    <row r="1538" spans="1:8" ht="12.75">
      <c r="A1538" s="334" t="s">
        <v>2040</v>
      </c>
      <c r="B1538" s="334" t="s">
        <v>2018</v>
      </c>
      <c r="C1538" s="166"/>
      <c r="D1538" s="166" t="s">
        <v>1695</v>
      </c>
      <c r="E1538" s="222"/>
      <c r="G1538" s="352">
        <f t="shared" si="6"/>
        <v>1672217202.56</v>
      </c>
      <c r="H1538" s="349">
        <v>1575705621</v>
      </c>
    </row>
    <row r="1539" spans="1:8" ht="12.75">
      <c r="A1539" s="334" t="s">
        <v>2040</v>
      </c>
      <c r="B1539" s="334" t="s">
        <v>1696</v>
      </c>
      <c r="C1539" s="166"/>
      <c r="D1539" s="166" t="s">
        <v>1734</v>
      </c>
      <c r="E1539" s="236"/>
      <c r="G1539" s="352">
        <f t="shared" si="6"/>
        <v>1050054124.49</v>
      </c>
      <c r="H1539" s="349">
        <v>943994780</v>
      </c>
    </row>
    <row r="1540" spans="1:8" ht="15">
      <c r="A1540" s="334" t="s">
        <v>2040</v>
      </c>
      <c r="B1540" s="334" t="s">
        <v>2032</v>
      </c>
      <c r="C1540" s="252"/>
      <c r="D1540" s="166" t="s">
        <v>1735</v>
      </c>
      <c r="E1540" s="244"/>
      <c r="G1540" s="354">
        <f t="shared" si="6"/>
        <v>94418395.31</v>
      </c>
      <c r="H1540" s="350">
        <v>68419764</v>
      </c>
    </row>
    <row r="1541" spans="2:8" ht="15">
      <c r="B1541" s="252"/>
      <c r="C1541" s="224"/>
      <c r="D1541" s="236" t="s">
        <v>943</v>
      </c>
      <c r="E1541" s="236"/>
      <c r="F1541" s="236"/>
      <c r="G1541" s="351">
        <f>SUM(G1535:G1540)</f>
        <v>4239930674.15</v>
      </c>
      <c r="H1541" s="351">
        <f>SUM(H1535:H1540)</f>
        <v>3988694600</v>
      </c>
    </row>
    <row r="1542" spans="2:8" ht="12.75">
      <c r="B1542" s="252"/>
      <c r="C1542" s="224"/>
      <c r="E1542" s="355"/>
      <c r="G1542" s="356"/>
      <c r="H1542" s="356"/>
    </row>
    <row r="1543" spans="2:8" ht="12.75">
      <c r="B1543" s="166"/>
      <c r="C1543" s="245"/>
      <c r="D1543" s="244"/>
      <c r="E1543" s="244"/>
      <c r="G1543" s="352"/>
      <c r="H1543" s="352"/>
    </row>
    <row r="1544" spans="2:8" ht="12.75">
      <c r="B1544" s="341"/>
      <c r="C1544" s="221">
        <v>303330</v>
      </c>
      <c r="D1544" s="222" t="s">
        <v>1688</v>
      </c>
      <c r="E1544" s="225"/>
      <c r="G1544" s="357"/>
      <c r="H1544" s="357"/>
    </row>
    <row r="1545" spans="1:8" ht="12.75">
      <c r="A1545" s="334" t="s">
        <v>1736</v>
      </c>
      <c r="B1545" s="334" t="s">
        <v>1696</v>
      </c>
      <c r="C1545" s="166"/>
      <c r="D1545" s="166" t="s">
        <v>1737</v>
      </c>
      <c r="E1545" s="225"/>
      <c r="G1545" s="349">
        <f>G179</f>
        <v>209304359</v>
      </c>
      <c r="H1545" s="349">
        <v>90697233</v>
      </c>
    </row>
    <row r="1546" spans="1:8" ht="12.75">
      <c r="A1546" s="334" t="s">
        <v>1738</v>
      </c>
      <c r="B1546" s="334" t="s">
        <v>1696</v>
      </c>
      <c r="C1546" s="166"/>
      <c r="D1546" s="166" t="s">
        <v>1739</v>
      </c>
      <c r="E1546" s="244"/>
      <c r="G1546" s="349">
        <f>G180</f>
        <v>5129483863</v>
      </c>
      <c r="H1546" s="352">
        <v>4636800501</v>
      </c>
    </row>
    <row r="1547" spans="1:8" ht="15">
      <c r="A1547" s="334" t="s">
        <v>1740</v>
      </c>
      <c r="B1547" s="334" t="s">
        <v>1696</v>
      </c>
      <c r="C1547" s="166"/>
      <c r="D1547" s="166" t="s">
        <v>1741</v>
      </c>
      <c r="E1547" s="244"/>
      <c r="G1547" s="350">
        <f>G181</f>
        <v>0</v>
      </c>
      <c r="H1547" s="354">
        <v>0</v>
      </c>
    </row>
    <row r="1548" spans="2:8" ht="12.75">
      <c r="B1548" s="166"/>
      <c r="C1548" s="245"/>
      <c r="D1548" s="244"/>
      <c r="E1548" s="244"/>
      <c r="G1548" s="352"/>
      <c r="H1548" s="352"/>
    </row>
    <row r="1549" spans="2:8" ht="15">
      <c r="B1549" s="166"/>
      <c r="C1549" s="224"/>
      <c r="D1549" s="236" t="s">
        <v>943</v>
      </c>
      <c r="E1549" s="236"/>
      <c r="F1549" s="225"/>
      <c r="G1549" s="351">
        <f>SUM(G1545:G1548)</f>
        <v>5338788222</v>
      </c>
      <c r="H1549" s="351">
        <f>SUM(H1545:H1548)</f>
        <v>4727497734</v>
      </c>
    </row>
    <row r="1550" spans="2:8" ht="12.75">
      <c r="B1550" s="166"/>
      <c r="C1550" s="245"/>
      <c r="D1550" s="244"/>
      <c r="E1550" s="244"/>
      <c r="G1550" s="352"/>
      <c r="H1550" s="352"/>
    </row>
    <row r="1551" ht="12.75">
      <c r="B1551" s="341"/>
    </row>
    <row r="1554" spans="2:8" ht="12.75">
      <c r="B1554" s="166"/>
      <c r="C1554" s="221">
        <v>303350</v>
      </c>
      <c r="D1554" s="222" t="s">
        <v>1689</v>
      </c>
      <c r="E1554" s="244"/>
      <c r="G1554" s="352"/>
      <c r="H1554" s="352"/>
    </row>
    <row r="1555" spans="1:8" ht="12.75">
      <c r="A1555" s="334" t="s">
        <v>1742</v>
      </c>
      <c r="B1555" s="334" t="s">
        <v>1743</v>
      </c>
      <c r="C1555" s="166"/>
      <c r="D1555" s="166" t="s">
        <v>1744</v>
      </c>
      <c r="E1555" s="244"/>
      <c r="G1555" s="352">
        <f>G182</f>
        <v>117869371</v>
      </c>
      <c r="H1555" s="352">
        <v>85484994</v>
      </c>
    </row>
    <row r="1556" spans="1:8" ht="12.75">
      <c r="A1556" s="334" t="s">
        <v>1247</v>
      </c>
      <c r="B1556" s="334" t="s">
        <v>1696</v>
      </c>
      <c r="C1556" s="252"/>
      <c r="D1556" s="166" t="s">
        <v>1248</v>
      </c>
      <c r="E1556" s="244"/>
      <c r="G1556" s="352">
        <f>G574</f>
        <v>299077590.24</v>
      </c>
      <c r="H1556" s="349">
        <v>36992753</v>
      </c>
    </row>
    <row r="1557" spans="1:8" ht="15">
      <c r="A1557" s="334" t="s">
        <v>1745</v>
      </c>
      <c r="B1557" s="334" t="s">
        <v>1696</v>
      </c>
      <c r="C1557" s="252"/>
      <c r="D1557" s="166" t="s">
        <v>1746</v>
      </c>
      <c r="E1557" s="261"/>
      <c r="F1557" s="244"/>
      <c r="G1557" s="352">
        <f aca="true" t="shared" si="7" ref="G1557:G1563">G183</f>
        <v>218811750</v>
      </c>
      <c r="H1557" s="349">
        <v>231140750</v>
      </c>
    </row>
    <row r="1558" spans="1:8" ht="12.75">
      <c r="A1558" s="334" t="s">
        <v>1747</v>
      </c>
      <c r="B1558" s="334" t="s">
        <v>2044</v>
      </c>
      <c r="C1558" s="166"/>
      <c r="D1558" s="166" t="s">
        <v>359</v>
      </c>
      <c r="E1558" s="244"/>
      <c r="G1558" s="352">
        <f t="shared" si="7"/>
        <v>90842665.29</v>
      </c>
      <c r="H1558" s="352">
        <v>23945353</v>
      </c>
    </row>
    <row r="1559" spans="1:8" ht="12.75">
      <c r="A1559" s="334" t="s">
        <v>1747</v>
      </c>
      <c r="B1559" s="334" t="s">
        <v>2018</v>
      </c>
      <c r="C1559" s="166"/>
      <c r="D1559" s="166" t="s">
        <v>360</v>
      </c>
      <c r="E1559" s="244"/>
      <c r="G1559" s="352">
        <f t="shared" si="7"/>
        <v>24907596.33</v>
      </c>
      <c r="H1559" s="352">
        <v>32937606</v>
      </c>
    </row>
    <row r="1560" spans="1:8" ht="12.75">
      <c r="A1560" s="334" t="s">
        <v>361</v>
      </c>
      <c r="B1560" s="334" t="s">
        <v>1696</v>
      </c>
      <c r="C1560" s="166"/>
      <c r="D1560" s="166" t="s">
        <v>362</v>
      </c>
      <c r="E1560" s="225"/>
      <c r="G1560" s="352">
        <f t="shared" si="7"/>
        <v>560071945</v>
      </c>
      <c r="H1560" s="349">
        <v>446527062</v>
      </c>
    </row>
    <row r="1561" spans="1:8" ht="12.75">
      <c r="A1561" s="334" t="s">
        <v>363</v>
      </c>
      <c r="B1561" s="334" t="s">
        <v>2034</v>
      </c>
      <c r="C1561" s="166"/>
      <c r="D1561" s="166" t="s">
        <v>1851</v>
      </c>
      <c r="E1561" s="244"/>
      <c r="G1561" s="352">
        <f t="shared" si="7"/>
        <v>26357571</v>
      </c>
      <c r="H1561" s="352">
        <v>21781492</v>
      </c>
    </row>
    <row r="1562" spans="1:8" ht="12.75">
      <c r="A1562" s="334" t="s">
        <v>364</v>
      </c>
      <c r="B1562" s="334" t="s">
        <v>2018</v>
      </c>
      <c r="C1562" s="166"/>
      <c r="D1562" s="166" t="s">
        <v>365</v>
      </c>
      <c r="E1562" s="244"/>
      <c r="G1562" s="352">
        <f t="shared" si="7"/>
        <v>264662236</v>
      </c>
      <c r="H1562" s="349">
        <v>189786016</v>
      </c>
    </row>
    <row r="1563" spans="1:8" ht="15">
      <c r="A1563" s="334" t="s">
        <v>366</v>
      </c>
      <c r="B1563" s="334" t="s">
        <v>2023</v>
      </c>
      <c r="C1563" s="166"/>
      <c r="D1563" s="166" t="s">
        <v>1154</v>
      </c>
      <c r="E1563" s="244"/>
      <c r="G1563" s="354">
        <f t="shared" si="7"/>
        <v>65909560</v>
      </c>
      <c r="H1563" s="350">
        <v>68620057</v>
      </c>
    </row>
    <row r="1564" spans="2:8" ht="15">
      <c r="B1564" s="166"/>
      <c r="C1564" s="345"/>
      <c r="D1564" s="236" t="s">
        <v>943</v>
      </c>
      <c r="E1564" s="236"/>
      <c r="F1564" s="236"/>
      <c r="G1564" s="351">
        <f>SUM(G1555:G1563)</f>
        <v>1668510284.8600001</v>
      </c>
      <c r="H1564" s="351">
        <f>SUM(H1555:H1563)</f>
        <v>1137216083</v>
      </c>
    </row>
    <row r="1565" spans="2:8" ht="12.75">
      <c r="B1565" s="252"/>
      <c r="C1565" s="224"/>
      <c r="E1565" s="244"/>
      <c r="G1565" s="352"/>
      <c r="H1565" s="352"/>
    </row>
    <row r="1566" spans="5:8" ht="12.75">
      <c r="E1566" s="244"/>
      <c r="G1566" s="352"/>
      <c r="H1566" s="352"/>
    </row>
    <row r="1567" spans="2:8" ht="12.75">
      <c r="B1567" s="341"/>
      <c r="C1567" s="221">
        <v>303110</v>
      </c>
      <c r="D1567" s="222" t="s">
        <v>1690</v>
      </c>
      <c r="E1567" s="225"/>
      <c r="G1567" s="357"/>
      <c r="H1567" s="357"/>
    </row>
    <row r="1568" spans="1:8" ht="15">
      <c r="A1568" s="334" t="s">
        <v>1155</v>
      </c>
      <c r="B1568" s="166" t="s">
        <v>1156</v>
      </c>
      <c r="C1568" s="166"/>
      <c r="D1568" s="166" t="s">
        <v>1157</v>
      </c>
      <c r="E1568" s="225"/>
      <c r="G1568" s="350">
        <f>G190-H190</f>
        <v>-784990294</v>
      </c>
      <c r="H1568" s="350">
        <v>-650208008</v>
      </c>
    </row>
    <row r="1569" spans="2:8" ht="15">
      <c r="B1569" s="166"/>
      <c r="C1569" s="245"/>
      <c r="D1569" s="236" t="s">
        <v>943</v>
      </c>
      <c r="E1569" s="236"/>
      <c r="F1569" s="236"/>
      <c r="G1569" s="351">
        <f>SUM(G1568)</f>
        <v>-784990294</v>
      </c>
      <c r="H1569" s="351">
        <f>SUM(H1568)</f>
        <v>-650208008</v>
      </c>
    </row>
    <row r="1570" spans="2:8" ht="12.75">
      <c r="B1570" s="252"/>
      <c r="C1570" s="224"/>
      <c r="E1570" s="222"/>
      <c r="G1570" s="353"/>
      <c r="H1570" s="353"/>
    </row>
    <row r="1571" spans="2:8" ht="12.75">
      <c r="B1571" s="166"/>
      <c r="C1571" s="245"/>
      <c r="D1571" s="244"/>
      <c r="E1571" s="244"/>
      <c r="G1571" s="352"/>
      <c r="H1571" s="352"/>
    </row>
    <row r="1572" spans="2:8" ht="12.75">
      <c r="B1572" s="166"/>
      <c r="C1572" s="245"/>
      <c r="D1572" s="225" t="s">
        <v>1691</v>
      </c>
      <c r="E1572" s="236"/>
      <c r="G1572" s="358"/>
      <c r="H1572" s="358"/>
    </row>
    <row r="1573" spans="2:8" ht="12.75">
      <c r="B1573" s="341"/>
      <c r="C1573" s="221">
        <v>305450</v>
      </c>
      <c r="D1573" s="222" t="s">
        <v>1692</v>
      </c>
      <c r="E1573" s="244"/>
      <c r="G1573" s="352"/>
      <c r="H1573" s="352"/>
    </row>
    <row r="1574" spans="1:8" ht="12.75">
      <c r="A1574" s="334" t="s">
        <v>1158</v>
      </c>
      <c r="B1574" s="334" t="s">
        <v>2041</v>
      </c>
      <c r="C1574" s="252"/>
      <c r="D1574" s="166" t="s">
        <v>730</v>
      </c>
      <c r="E1574" s="341"/>
      <c r="G1574" s="349">
        <f aca="true" t="shared" si="8" ref="G1574:G1589">G199</f>
        <v>180449879.5</v>
      </c>
      <c r="H1574" s="349">
        <v>80746328.09999998</v>
      </c>
    </row>
    <row r="1575" spans="1:8" ht="12.75">
      <c r="A1575" s="334" t="s">
        <v>1158</v>
      </c>
      <c r="B1575" s="334" t="s">
        <v>731</v>
      </c>
      <c r="C1575" s="166"/>
      <c r="D1575" s="166" t="s">
        <v>1032</v>
      </c>
      <c r="E1575" s="166"/>
      <c r="G1575" s="349">
        <f t="shared" si="8"/>
        <v>22036313.5</v>
      </c>
      <c r="H1575" s="349">
        <v>9341863.5</v>
      </c>
    </row>
    <row r="1576" spans="1:8" ht="12.75">
      <c r="A1576" s="334" t="s">
        <v>1158</v>
      </c>
      <c r="B1576" s="334" t="s">
        <v>2023</v>
      </c>
      <c r="C1576" s="166"/>
      <c r="D1576" s="166" t="s">
        <v>1033</v>
      </c>
      <c r="E1576" s="166"/>
      <c r="G1576" s="349">
        <f t="shared" si="8"/>
        <v>84818150.95</v>
      </c>
      <c r="H1576" s="349">
        <v>58443625.54999999</v>
      </c>
    </row>
    <row r="1577" spans="1:8" ht="12.75">
      <c r="A1577" s="334" t="s">
        <v>1158</v>
      </c>
      <c r="B1577" s="334" t="s">
        <v>2044</v>
      </c>
      <c r="C1577" s="252"/>
      <c r="D1577" s="166" t="s">
        <v>1034</v>
      </c>
      <c r="E1577" s="166"/>
      <c r="G1577" s="349">
        <f t="shared" si="8"/>
        <v>93354711.65</v>
      </c>
      <c r="H1577" s="349">
        <v>68399269.14999999</v>
      </c>
    </row>
    <row r="1578" spans="1:8" ht="12.75">
      <c r="A1578" s="334" t="s">
        <v>1158</v>
      </c>
      <c r="B1578" s="334" t="s">
        <v>2018</v>
      </c>
      <c r="C1578" s="252"/>
      <c r="D1578" s="166" t="s">
        <v>1035</v>
      </c>
      <c r="E1578" s="166"/>
      <c r="G1578" s="349">
        <f t="shared" si="8"/>
        <v>110770379.75</v>
      </c>
      <c r="H1578" s="349">
        <v>79557724.1</v>
      </c>
    </row>
    <row r="1579" spans="1:8" ht="12.75">
      <c r="A1579" s="334" t="s">
        <v>1158</v>
      </c>
      <c r="B1579" s="334" t="s">
        <v>1696</v>
      </c>
      <c r="C1579" s="252"/>
      <c r="D1579" s="166" t="s">
        <v>1036</v>
      </c>
      <c r="E1579" s="166"/>
      <c r="G1579" s="349">
        <f t="shared" si="8"/>
        <v>120573106.45</v>
      </c>
      <c r="H1579" s="349">
        <v>96731855.85000002</v>
      </c>
    </row>
    <row r="1580" spans="1:8" ht="12.75">
      <c r="A1580" s="334" t="s">
        <v>1158</v>
      </c>
      <c r="B1580" s="334" t="s">
        <v>2032</v>
      </c>
      <c r="C1580" s="166"/>
      <c r="D1580" s="166" t="s">
        <v>1037</v>
      </c>
      <c r="E1580" s="166"/>
      <c r="G1580" s="349">
        <f t="shared" si="8"/>
        <v>150170628.5</v>
      </c>
      <c r="H1580" s="349">
        <v>102863928.99999999</v>
      </c>
    </row>
    <row r="1581" spans="1:8" ht="12.75">
      <c r="A1581" s="334" t="s">
        <v>1158</v>
      </c>
      <c r="B1581" s="334" t="s">
        <v>1038</v>
      </c>
      <c r="C1581" s="252"/>
      <c r="D1581" s="166" t="s">
        <v>1039</v>
      </c>
      <c r="E1581" s="166"/>
      <c r="G1581" s="349">
        <f t="shared" si="8"/>
        <v>0</v>
      </c>
      <c r="H1581" s="349">
        <v>0</v>
      </c>
    </row>
    <row r="1582" spans="1:8" ht="12.75">
      <c r="A1582" s="334" t="s">
        <v>1158</v>
      </c>
      <c r="B1582" s="334" t="s">
        <v>1040</v>
      </c>
      <c r="C1582" s="166"/>
      <c r="D1582" s="166" t="s">
        <v>1041</v>
      </c>
      <c r="E1582" s="166"/>
      <c r="G1582" s="349">
        <f t="shared" si="8"/>
        <v>235899092.4</v>
      </c>
      <c r="H1582" s="349">
        <v>177025860.74999994</v>
      </c>
    </row>
    <row r="1583" spans="1:8" ht="12.75">
      <c r="A1583" s="334" t="s">
        <v>1158</v>
      </c>
      <c r="B1583" s="334" t="s">
        <v>1042</v>
      </c>
      <c r="C1583" s="166"/>
      <c r="D1583" s="166" t="s">
        <v>1043</v>
      </c>
      <c r="E1583" s="166"/>
      <c r="G1583" s="349">
        <f t="shared" si="8"/>
        <v>41331876</v>
      </c>
      <c r="H1583" s="349">
        <v>27801448.7</v>
      </c>
    </row>
    <row r="1584" spans="1:8" ht="12.75">
      <c r="A1584" s="334" t="s">
        <v>1158</v>
      </c>
      <c r="B1584" s="334" t="s">
        <v>1743</v>
      </c>
      <c r="C1584" s="252"/>
      <c r="D1584" s="166" t="s">
        <v>1044</v>
      </c>
      <c r="E1584" s="166"/>
      <c r="G1584" s="349">
        <f t="shared" si="8"/>
        <v>41756740.65</v>
      </c>
      <c r="H1584" s="349">
        <v>28634331.999999996</v>
      </c>
    </row>
    <row r="1585" spans="1:8" ht="12.75">
      <c r="A1585" s="334" t="s">
        <v>1158</v>
      </c>
      <c r="B1585" s="334" t="s">
        <v>1045</v>
      </c>
      <c r="C1585" s="252"/>
      <c r="D1585" s="166" t="s">
        <v>1046</v>
      </c>
      <c r="E1585" s="166"/>
      <c r="G1585" s="349">
        <f t="shared" si="8"/>
        <v>168071948.7</v>
      </c>
      <c r="H1585" s="349">
        <v>122755242.45</v>
      </c>
    </row>
    <row r="1586" spans="1:8" ht="12.75">
      <c r="A1586" s="334" t="s">
        <v>1158</v>
      </c>
      <c r="B1586" s="334" t="s">
        <v>2034</v>
      </c>
      <c r="C1586" s="252"/>
      <c r="D1586" s="166" t="s">
        <v>1047</v>
      </c>
      <c r="E1586" s="166"/>
      <c r="G1586" s="349">
        <f t="shared" si="8"/>
        <v>209021</v>
      </c>
      <c r="H1586" s="349">
        <v>8515227.600000001</v>
      </c>
    </row>
    <row r="1587" spans="1:8" ht="12.75">
      <c r="A1587" s="334" t="s">
        <v>1158</v>
      </c>
      <c r="B1587" s="334" t="s">
        <v>1048</v>
      </c>
      <c r="C1587" s="252"/>
      <c r="D1587" s="166" t="s">
        <v>1049</v>
      </c>
      <c r="E1587" s="166"/>
      <c r="G1587" s="349">
        <f t="shared" si="8"/>
        <v>20757671.35</v>
      </c>
      <c r="H1587" s="349">
        <v>8074925.5</v>
      </c>
    </row>
    <row r="1588" spans="1:8" ht="12.75">
      <c r="A1588" s="334" t="s">
        <v>1158</v>
      </c>
      <c r="B1588" s="334" t="s">
        <v>1050</v>
      </c>
      <c r="C1588" s="252"/>
      <c r="D1588" s="166" t="s">
        <v>1051</v>
      </c>
      <c r="E1588" s="359"/>
      <c r="G1588" s="349">
        <f t="shared" si="8"/>
        <v>16650415.8</v>
      </c>
      <c r="H1588" s="349">
        <v>7476952.8999999985</v>
      </c>
    </row>
    <row r="1589" spans="1:8" ht="12.75">
      <c r="A1589" s="334" t="s">
        <v>1158</v>
      </c>
      <c r="B1589" s="334" t="s">
        <v>1052</v>
      </c>
      <c r="C1589" s="252"/>
      <c r="D1589" s="166" t="s">
        <v>1053</v>
      </c>
      <c r="E1589" s="166"/>
      <c r="G1589" s="349">
        <f t="shared" si="8"/>
        <v>81307616.95</v>
      </c>
      <c r="H1589" s="349">
        <v>55562620.199999996</v>
      </c>
    </row>
    <row r="1590" spans="1:8" ht="12.75">
      <c r="A1590" s="334" t="s">
        <v>780</v>
      </c>
      <c r="B1590" s="334" t="s">
        <v>2041</v>
      </c>
      <c r="C1590" s="252"/>
      <c r="D1590" s="166" t="s">
        <v>789</v>
      </c>
      <c r="E1590" s="166"/>
      <c r="G1590" s="352">
        <f aca="true" t="shared" si="9" ref="G1590:G1605">G230</f>
        <v>10418067.25</v>
      </c>
      <c r="H1590" s="352">
        <v>8596554.549999999</v>
      </c>
    </row>
    <row r="1591" spans="1:8" ht="12.75">
      <c r="A1591" s="334" t="s">
        <v>780</v>
      </c>
      <c r="B1591" s="334" t="s">
        <v>731</v>
      </c>
      <c r="C1591" s="166"/>
      <c r="D1591" s="166" t="s">
        <v>790</v>
      </c>
      <c r="E1591" s="166"/>
      <c r="G1591" s="352">
        <f t="shared" si="9"/>
        <v>0</v>
      </c>
      <c r="H1591" s="352">
        <v>0</v>
      </c>
    </row>
    <row r="1592" spans="1:8" ht="12.75">
      <c r="A1592" s="334" t="s">
        <v>780</v>
      </c>
      <c r="B1592" s="334" t="s">
        <v>2023</v>
      </c>
      <c r="C1592" s="252"/>
      <c r="D1592" s="166" t="s">
        <v>791</v>
      </c>
      <c r="E1592" s="166"/>
      <c r="G1592" s="352">
        <f t="shared" si="9"/>
        <v>9325818.25</v>
      </c>
      <c r="H1592" s="352">
        <v>6135444.949999999</v>
      </c>
    </row>
    <row r="1593" spans="1:8" ht="12.75">
      <c r="A1593" s="334" t="s">
        <v>780</v>
      </c>
      <c r="B1593" s="334" t="s">
        <v>2044</v>
      </c>
      <c r="C1593" s="252"/>
      <c r="D1593" s="166" t="s">
        <v>792</v>
      </c>
      <c r="E1593" s="166"/>
      <c r="G1593" s="352">
        <f t="shared" si="9"/>
        <v>15736887.3</v>
      </c>
      <c r="H1593" s="352">
        <v>12153076.650000002</v>
      </c>
    </row>
    <row r="1594" spans="1:8" ht="12.75">
      <c r="A1594" s="334" t="s">
        <v>780</v>
      </c>
      <c r="B1594" s="334" t="s">
        <v>2018</v>
      </c>
      <c r="C1594" s="252"/>
      <c r="D1594" s="166" t="s">
        <v>793</v>
      </c>
      <c r="E1594" s="166"/>
      <c r="G1594" s="352">
        <f t="shared" si="9"/>
        <v>11754285.45</v>
      </c>
      <c r="H1594" s="352">
        <v>6946629.550000001</v>
      </c>
    </row>
    <row r="1595" spans="1:8" ht="12.75">
      <c r="A1595" s="334" t="s">
        <v>780</v>
      </c>
      <c r="B1595" s="334" t="s">
        <v>1696</v>
      </c>
      <c r="C1595" s="252"/>
      <c r="D1595" s="166" t="s">
        <v>794</v>
      </c>
      <c r="E1595" s="166"/>
      <c r="G1595" s="352">
        <f t="shared" si="9"/>
        <v>23313492.15</v>
      </c>
      <c r="H1595" s="352">
        <v>22111244.899999995</v>
      </c>
    </row>
    <row r="1596" spans="1:8" ht="12.75">
      <c r="A1596" s="334" t="s">
        <v>780</v>
      </c>
      <c r="B1596" s="334" t="s">
        <v>2032</v>
      </c>
      <c r="C1596" s="252"/>
      <c r="D1596" s="166" t="s">
        <v>795</v>
      </c>
      <c r="E1596" s="166"/>
      <c r="G1596" s="352">
        <f t="shared" si="9"/>
        <v>67420884.1</v>
      </c>
      <c r="H1596" s="352">
        <v>62706875.9</v>
      </c>
    </row>
    <row r="1597" spans="1:8" ht="12.75">
      <c r="A1597" s="334" t="s">
        <v>780</v>
      </c>
      <c r="B1597" s="334" t="s">
        <v>1038</v>
      </c>
      <c r="C1597" s="252"/>
      <c r="D1597" s="166" t="s">
        <v>796</v>
      </c>
      <c r="E1597" s="166"/>
      <c r="G1597" s="352">
        <f t="shared" si="9"/>
        <v>0</v>
      </c>
      <c r="H1597" s="352">
        <v>0</v>
      </c>
    </row>
    <row r="1598" spans="1:8" ht="12.75">
      <c r="A1598" s="334" t="s">
        <v>780</v>
      </c>
      <c r="B1598" s="334" t="s">
        <v>1040</v>
      </c>
      <c r="C1598" s="252"/>
      <c r="D1598" s="166" t="s">
        <v>797</v>
      </c>
      <c r="E1598" s="166"/>
      <c r="G1598" s="352">
        <f t="shared" si="9"/>
        <v>130035359.05</v>
      </c>
      <c r="H1598" s="352">
        <v>88842322.65</v>
      </c>
    </row>
    <row r="1599" spans="1:8" ht="12.75">
      <c r="A1599" s="334" t="s">
        <v>780</v>
      </c>
      <c r="B1599" s="334" t="s">
        <v>1042</v>
      </c>
      <c r="C1599" s="166"/>
      <c r="D1599" s="166" t="s">
        <v>1909</v>
      </c>
      <c r="E1599" s="359"/>
      <c r="G1599" s="352">
        <f t="shared" si="9"/>
        <v>5106966.05</v>
      </c>
      <c r="H1599" s="352">
        <v>3185875.1</v>
      </c>
    </row>
    <row r="1600" spans="1:8" ht="12.75">
      <c r="A1600" s="334" t="s">
        <v>780</v>
      </c>
      <c r="B1600" s="334" t="s">
        <v>1743</v>
      </c>
      <c r="C1600" s="166"/>
      <c r="D1600" s="166" t="s">
        <v>1910</v>
      </c>
      <c r="E1600" s="166"/>
      <c r="G1600" s="352">
        <f t="shared" si="9"/>
        <v>7841023.35</v>
      </c>
      <c r="H1600" s="352">
        <v>6340315.500000001</v>
      </c>
    </row>
    <row r="1601" spans="1:8" ht="12.75">
      <c r="A1601" s="334" t="s">
        <v>780</v>
      </c>
      <c r="B1601" s="334" t="s">
        <v>1045</v>
      </c>
      <c r="C1601" s="252"/>
      <c r="D1601" s="166" t="s">
        <v>197</v>
      </c>
      <c r="E1601" s="359"/>
      <c r="G1601" s="352">
        <f t="shared" si="9"/>
        <v>43965156.4</v>
      </c>
      <c r="H1601" s="352">
        <v>27245616.850000005</v>
      </c>
    </row>
    <row r="1602" spans="1:8" ht="12.75">
      <c r="A1602" s="334" t="s">
        <v>780</v>
      </c>
      <c r="B1602" s="334" t="s">
        <v>2034</v>
      </c>
      <c r="C1602" s="252"/>
      <c r="D1602" s="166" t="s">
        <v>198</v>
      </c>
      <c r="E1602" s="166"/>
      <c r="G1602" s="352">
        <f t="shared" si="9"/>
        <v>55233</v>
      </c>
      <c r="H1602" s="352">
        <v>532203.85</v>
      </c>
    </row>
    <row r="1603" spans="1:8" ht="12.75">
      <c r="A1603" s="334" t="s">
        <v>780</v>
      </c>
      <c r="B1603" s="334" t="s">
        <v>1048</v>
      </c>
      <c r="C1603" s="252"/>
      <c r="D1603" s="166" t="s">
        <v>199</v>
      </c>
      <c r="E1603" s="166"/>
      <c r="G1603" s="352">
        <f t="shared" si="9"/>
        <v>0</v>
      </c>
      <c r="H1603" s="352">
        <v>0</v>
      </c>
    </row>
    <row r="1604" spans="1:8" ht="12.75">
      <c r="A1604" s="334" t="s">
        <v>780</v>
      </c>
      <c r="B1604" s="334" t="s">
        <v>1050</v>
      </c>
      <c r="C1604" s="166"/>
      <c r="D1604" s="166" t="s">
        <v>200</v>
      </c>
      <c r="E1604" s="166"/>
      <c r="G1604" s="352">
        <f t="shared" si="9"/>
        <v>0</v>
      </c>
      <c r="H1604" s="352">
        <v>0</v>
      </c>
    </row>
    <row r="1605" spans="1:8" ht="12.75">
      <c r="A1605" s="334" t="s">
        <v>780</v>
      </c>
      <c r="B1605" s="334" t="s">
        <v>1052</v>
      </c>
      <c r="C1605" s="166"/>
      <c r="D1605" s="166" t="s">
        <v>201</v>
      </c>
      <c r="E1605" s="166"/>
      <c r="G1605" s="352">
        <f t="shared" si="9"/>
        <v>19128446.3</v>
      </c>
      <c r="H1605" s="352">
        <v>19148603.6</v>
      </c>
    </row>
    <row r="1606" spans="1:8" ht="12.75">
      <c r="A1606" s="334" t="s">
        <v>209</v>
      </c>
      <c r="B1606" s="334" t="s">
        <v>2041</v>
      </c>
      <c r="C1606" s="252"/>
      <c r="D1606" s="166" t="s">
        <v>218</v>
      </c>
      <c r="E1606" s="166"/>
      <c r="G1606" s="352">
        <f aca="true" t="shared" si="10" ref="G1606:G1621">G261</f>
        <v>45025621.75</v>
      </c>
      <c r="H1606" s="352">
        <v>19324312.950000003</v>
      </c>
    </row>
    <row r="1607" spans="1:8" ht="12.75">
      <c r="A1607" s="334" t="s">
        <v>209</v>
      </c>
      <c r="B1607" s="334" t="s">
        <v>731</v>
      </c>
      <c r="C1607" s="166"/>
      <c r="D1607" s="166" t="s">
        <v>219</v>
      </c>
      <c r="E1607" s="166"/>
      <c r="G1607" s="352">
        <f t="shared" si="10"/>
        <v>5405236.8</v>
      </c>
      <c r="H1607" s="352">
        <v>1252427.4</v>
      </c>
    </row>
    <row r="1608" spans="1:8" ht="12.75">
      <c r="A1608" s="334" t="s">
        <v>209</v>
      </c>
      <c r="B1608" s="334" t="s">
        <v>2023</v>
      </c>
      <c r="C1608" s="252"/>
      <c r="D1608" s="166" t="s">
        <v>220</v>
      </c>
      <c r="E1608" s="166"/>
      <c r="G1608" s="352">
        <f t="shared" si="10"/>
        <v>21568241.53</v>
      </c>
      <c r="H1608" s="352">
        <v>16194161.900000002</v>
      </c>
    </row>
    <row r="1609" spans="1:8" ht="12.75">
      <c r="A1609" s="334" t="s">
        <v>209</v>
      </c>
      <c r="B1609" s="334" t="s">
        <v>2044</v>
      </c>
      <c r="C1609" s="252"/>
      <c r="D1609" s="166" t="s">
        <v>221</v>
      </c>
      <c r="E1609" s="166"/>
      <c r="G1609" s="352">
        <f t="shared" si="10"/>
        <v>23958855.49</v>
      </c>
      <c r="H1609" s="352">
        <v>18434053.600000005</v>
      </c>
    </row>
    <row r="1610" spans="1:8" ht="12.75">
      <c r="A1610" s="334" t="s">
        <v>209</v>
      </c>
      <c r="B1610" s="334" t="s">
        <v>2018</v>
      </c>
      <c r="C1610" s="252"/>
      <c r="D1610" s="166" t="s">
        <v>222</v>
      </c>
      <c r="E1610" s="359"/>
      <c r="G1610" s="352">
        <f t="shared" si="10"/>
        <v>27811788.38</v>
      </c>
      <c r="H1610" s="352">
        <v>23256394.200000007</v>
      </c>
    </row>
    <row r="1611" spans="1:8" ht="12.75">
      <c r="A1611" s="334" t="s">
        <v>209</v>
      </c>
      <c r="B1611" s="334" t="s">
        <v>1696</v>
      </c>
      <c r="C1611" s="252"/>
      <c r="D1611" s="166" t="s">
        <v>223</v>
      </c>
      <c r="E1611" s="166"/>
      <c r="G1611" s="352">
        <f t="shared" si="10"/>
        <v>31039067.92</v>
      </c>
      <c r="H1611" s="352">
        <v>22795069.8</v>
      </c>
    </row>
    <row r="1612" spans="1:8" ht="12.75">
      <c r="A1612" s="334" t="s">
        <v>209</v>
      </c>
      <c r="B1612" s="334" t="s">
        <v>2032</v>
      </c>
      <c r="C1612" s="252"/>
      <c r="D1612" s="166" t="s">
        <v>224</v>
      </c>
      <c r="E1612" s="166"/>
      <c r="G1612" s="352">
        <f t="shared" si="10"/>
        <v>38436529.92</v>
      </c>
      <c r="H1612" s="352">
        <v>26899216.799999997</v>
      </c>
    </row>
    <row r="1613" spans="1:8" ht="12.75">
      <c r="A1613" s="334" t="s">
        <v>209</v>
      </c>
      <c r="B1613" s="334" t="s">
        <v>1038</v>
      </c>
      <c r="C1613" s="252"/>
      <c r="D1613" s="166" t="s">
        <v>444</v>
      </c>
      <c r="E1613" s="166"/>
      <c r="G1613" s="352">
        <f t="shared" si="10"/>
        <v>0</v>
      </c>
      <c r="H1613" s="352">
        <v>0</v>
      </c>
    </row>
    <row r="1614" spans="1:8" ht="12.75">
      <c r="A1614" s="334" t="s">
        <v>209</v>
      </c>
      <c r="B1614" s="334" t="s">
        <v>1040</v>
      </c>
      <c r="C1614" s="252"/>
      <c r="D1614" s="166" t="s">
        <v>445</v>
      </c>
      <c r="E1614" s="166"/>
      <c r="G1614" s="352">
        <f t="shared" si="10"/>
        <v>59648743.73</v>
      </c>
      <c r="H1614" s="352">
        <v>50079735.75</v>
      </c>
    </row>
    <row r="1615" spans="1:8" ht="12.75">
      <c r="A1615" s="334" t="s">
        <v>209</v>
      </c>
      <c r="B1615" s="334" t="s">
        <v>1042</v>
      </c>
      <c r="C1615" s="166"/>
      <c r="D1615" s="166" t="s">
        <v>446</v>
      </c>
      <c r="E1615" s="166"/>
      <c r="G1615" s="352">
        <f t="shared" si="10"/>
        <v>9723006.7</v>
      </c>
      <c r="H1615" s="352">
        <v>6124201.800000002</v>
      </c>
    </row>
    <row r="1616" spans="1:8" ht="12.75">
      <c r="A1616" s="334" t="s">
        <v>209</v>
      </c>
      <c r="B1616" s="334" t="s">
        <v>1743</v>
      </c>
      <c r="C1616" s="166"/>
      <c r="D1616" s="166" t="s">
        <v>447</v>
      </c>
      <c r="E1616" s="166"/>
      <c r="G1616" s="352">
        <f t="shared" si="10"/>
        <v>10063909.64</v>
      </c>
      <c r="H1616" s="352">
        <v>7110562.6</v>
      </c>
    </row>
    <row r="1617" spans="1:8" ht="12.75">
      <c r="A1617" s="334" t="s">
        <v>209</v>
      </c>
      <c r="B1617" s="334" t="s">
        <v>1045</v>
      </c>
      <c r="C1617" s="252"/>
      <c r="D1617" s="166" t="s">
        <v>448</v>
      </c>
      <c r="E1617" s="166"/>
      <c r="G1617" s="352">
        <f t="shared" si="10"/>
        <v>41795973.95</v>
      </c>
      <c r="H1617" s="352">
        <v>31606359.30000001</v>
      </c>
    </row>
    <row r="1618" spans="1:8" ht="12.75">
      <c r="A1618" s="334" t="s">
        <v>209</v>
      </c>
      <c r="B1618" s="334" t="s">
        <v>2034</v>
      </c>
      <c r="C1618" s="252"/>
      <c r="D1618" s="166" t="s">
        <v>449</v>
      </c>
      <c r="E1618" s="166"/>
      <c r="G1618" s="352">
        <f t="shared" si="10"/>
        <v>2117281.92</v>
      </c>
      <c r="H1618" s="352">
        <v>8089967.300000002</v>
      </c>
    </row>
    <row r="1619" spans="1:8" ht="12.75">
      <c r="A1619" s="334" t="s">
        <v>209</v>
      </c>
      <c r="B1619" s="334" t="s">
        <v>1048</v>
      </c>
      <c r="C1619" s="252"/>
      <c r="D1619" s="166" t="s">
        <v>450</v>
      </c>
      <c r="E1619" s="166"/>
      <c r="G1619" s="352">
        <f t="shared" si="10"/>
        <v>3113649.9</v>
      </c>
      <c r="H1619" s="352">
        <v>1071153</v>
      </c>
    </row>
    <row r="1620" spans="1:8" ht="12.75">
      <c r="A1620" s="334" t="s">
        <v>209</v>
      </c>
      <c r="B1620" s="334" t="s">
        <v>1050</v>
      </c>
      <c r="C1620" s="166"/>
      <c r="D1620" s="166" t="s">
        <v>451</v>
      </c>
      <c r="E1620" s="166"/>
      <c r="G1620" s="352">
        <f t="shared" si="10"/>
        <v>3707347.48</v>
      </c>
      <c r="H1620" s="352">
        <v>1514486.2</v>
      </c>
    </row>
    <row r="1621" spans="1:8" ht="12.75">
      <c r="A1621" s="334" t="s">
        <v>209</v>
      </c>
      <c r="B1621" s="334" t="s">
        <v>1052</v>
      </c>
      <c r="C1621" s="166"/>
      <c r="D1621" s="166" t="s">
        <v>452</v>
      </c>
      <c r="E1621" s="166"/>
      <c r="G1621" s="352">
        <f t="shared" si="10"/>
        <v>20751373.58</v>
      </c>
      <c r="H1621" s="352">
        <v>8857815.049999997</v>
      </c>
    </row>
    <row r="1622" spans="1:8" ht="12.75">
      <c r="A1622" s="334" t="s">
        <v>1354</v>
      </c>
      <c r="B1622" s="334" t="s">
        <v>2041</v>
      </c>
      <c r="C1622" s="252"/>
      <c r="D1622" s="166" t="s">
        <v>1363</v>
      </c>
      <c r="E1622" s="359"/>
      <c r="G1622" s="349">
        <f aca="true" t="shared" si="11" ref="G1622:G1637">G293</f>
        <v>13572620.8</v>
      </c>
      <c r="H1622" s="349">
        <v>26160933.599999998</v>
      </c>
    </row>
    <row r="1623" spans="1:8" ht="12.75">
      <c r="A1623" s="334" t="s">
        <v>1354</v>
      </c>
      <c r="B1623" s="334" t="s">
        <v>731</v>
      </c>
      <c r="C1623" s="166"/>
      <c r="D1623" s="166" t="s">
        <v>1364</v>
      </c>
      <c r="E1623" s="252"/>
      <c r="G1623" s="349">
        <f t="shared" si="11"/>
        <v>893398.8</v>
      </c>
      <c r="H1623" s="349">
        <v>3339806.4</v>
      </c>
    </row>
    <row r="1624" spans="1:8" ht="12.75">
      <c r="A1624" s="334" t="s">
        <v>1354</v>
      </c>
      <c r="B1624" s="334" t="s">
        <v>2023</v>
      </c>
      <c r="C1624" s="252"/>
      <c r="D1624" s="166" t="s">
        <v>1365</v>
      </c>
      <c r="E1624" s="252"/>
      <c r="G1624" s="349">
        <f t="shared" si="11"/>
        <v>29161466.4</v>
      </c>
      <c r="H1624" s="349">
        <v>20144924.000000004</v>
      </c>
    </row>
    <row r="1625" spans="1:8" ht="12.75">
      <c r="A1625" s="334" t="s">
        <v>1354</v>
      </c>
      <c r="B1625" s="334" t="s">
        <v>2044</v>
      </c>
      <c r="C1625" s="252"/>
      <c r="D1625" s="166" t="s">
        <v>1366</v>
      </c>
      <c r="E1625" s="166"/>
      <c r="G1625" s="349">
        <f t="shared" si="11"/>
        <v>33894469.6</v>
      </c>
      <c r="H1625" s="349">
        <v>20880348.8</v>
      </c>
    </row>
    <row r="1626" spans="1:8" ht="12.75">
      <c r="A1626" s="334" t="s">
        <v>1354</v>
      </c>
      <c r="B1626" s="334" t="s">
        <v>2018</v>
      </c>
      <c r="C1626" s="252"/>
      <c r="D1626" s="166" t="s">
        <v>1367</v>
      </c>
      <c r="E1626" s="166"/>
      <c r="G1626" s="349">
        <f t="shared" si="11"/>
        <v>39420610.4</v>
      </c>
      <c r="H1626" s="349">
        <v>27007150.400000006</v>
      </c>
    </row>
    <row r="1627" spans="1:8" ht="12.75">
      <c r="A1627" s="334" t="s">
        <v>1354</v>
      </c>
      <c r="B1627" s="334" t="s">
        <v>1696</v>
      </c>
      <c r="C1627" s="252"/>
      <c r="D1627" s="166" t="s">
        <v>1435</v>
      </c>
      <c r="E1627" s="166"/>
      <c r="G1627" s="349">
        <f t="shared" si="11"/>
        <v>40298637.6</v>
      </c>
      <c r="H1627" s="349">
        <v>28642063.200000003</v>
      </c>
    </row>
    <row r="1628" spans="1:8" ht="12.75">
      <c r="A1628" s="334" t="s">
        <v>1354</v>
      </c>
      <c r="B1628" s="334" t="s">
        <v>2032</v>
      </c>
      <c r="C1628" s="252"/>
      <c r="D1628" s="166" t="s">
        <v>1436</v>
      </c>
      <c r="E1628" s="166"/>
      <c r="G1628" s="349">
        <f t="shared" si="11"/>
        <v>729818.4</v>
      </c>
      <c r="H1628" s="349">
        <v>2728291.2</v>
      </c>
    </row>
    <row r="1629" spans="1:8" ht="12.75">
      <c r="A1629" s="334" t="s">
        <v>1354</v>
      </c>
      <c r="B1629" s="334" t="s">
        <v>1038</v>
      </c>
      <c r="C1629" s="252"/>
      <c r="D1629" s="166" t="s">
        <v>1437</v>
      </c>
      <c r="E1629" s="166"/>
      <c r="G1629" s="349">
        <f t="shared" si="11"/>
        <v>0</v>
      </c>
      <c r="H1629" s="349">
        <v>0</v>
      </c>
    </row>
    <row r="1630" spans="1:8" ht="12.75">
      <c r="A1630" s="334" t="s">
        <v>1354</v>
      </c>
      <c r="B1630" s="334" t="s">
        <v>1040</v>
      </c>
      <c r="C1630" s="252"/>
      <c r="D1630" s="166" t="s">
        <v>1438</v>
      </c>
      <c r="E1630" s="166"/>
      <c r="G1630" s="349">
        <f t="shared" si="11"/>
        <v>14459348</v>
      </c>
      <c r="H1630" s="349">
        <v>12539792.799999995</v>
      </c>
    </row>
    <row r="1631" spans="1:8" ht="12.75">
      <c r="A1631" s="334" t="s">
        <v>1354</v>
      </c>
      <c r="B1631" s="334" t="s">
        <v>1042</v>
      </c>
      <c r="C1631" s="166"/>
      <c r="D1631" s="166" t="s">
        <v>1439</v>
      </c>
      <c r="E1631" s="359"/>
      <c r="G1631" s="349">
        <f t="shared" si="11"/>
        <v>743550</v>
      </c>
      <c r="H1631" s="349">
        <v>2798822.4</v>
      </c>
    </row>
    <row r="1632" spans="1:8" ht="12.75">
      <c r="A1632" s="334" t="s">
        <v>1354</v>
      </c>
      <c r="B1632" s="334" t="s">
        <v>1743</v>
      </c>
      <c r="C1632" s="166"/>
      <c r="D1632" s="166" t="s">
        <v>1440</v>
      </c>
      <c r="E1632" s="359"/>
      <c r="G1632" s="349">
        <f t="shared" si="11"/>
        <v>743550</v>
      </c>
      <c r="H1632" s="349">
        <v>2779627.2</v>
      </c>
    </row>
    <row r="1633" spans="1:8" ht="12.75">
      <c r="A1633" s="334" t="s">
        <v>1354</v>
      </c>
      <c r="B1633" s="334" t="s">
        <v>1045</v>
      </c>
      <c r="C1633" s="252"/>
      <c r="D1633" s="166" t="s">
        <v>1441</v>
      </c>
      <c r="E1633" s="359"/>
      <c r="G1633" s="349">
        <f t="shared" si="11"/>
        <v>10193797.2</v>
      </c>
      <c r="H1633" s="349">
        <v>10994400.000000002</v>
      </c>
    </row>
    <row r="1634" spans="1:8" ht="12.75">
      <c r="A1634" s="334" t="s">
        <v>1354</v>
      </c>
      <c r="B1634" s="334" t="s">
        <v>2034</v>
      </c>
      <c r="C1634" s="252"/>
      <c r="D1634" s="166" t="s">
        <v>1442</v>
      </c>
      <c r="E1634" s="359"/>
      <c r="G1634" s="349">
        <f t="shared" si="11"/>
        <v>0</v>
      </c>
      <c r="H1634" s="349">
        <v>3102436.8</v>
      </c>
    </row>
    <row r="1635" spans="1:8" ht="12.75">
      <c r="A1635" s="334" t="s">
        <v>1354</v>
      </c>
      <c r="B1635" s="334" t="s">
        <v>1048</v>
      </c>
      <c r="C1635" s="252"/>
      <c r="D1635" s="166" t="s">
        <v>1443</v>
      </c>
      <c r="E1635" s="166"/>
      <c r="G1635" s="349">
        <f t="shared" si="11"/>
        <v>805166.4</v>
      </c>
      <c r="H1635" s="349">
        <v>2856408</v>
      </c>
    </row>
    <row r="1636" spans="1:8" ht="12.75">
      <c r="A1636" s="334" t="s">
        <v>1354</v>
      </c>
      <c r="B1636" s="334" t="s">
        <v>1050</v>
      </c>
      <c r="C1636" s="166"/>
      <c r="D1636" s="166" t="s">
        <v>1444</v>
      </c>
      <c r="E1636" s="166"/>
      <c r="G1636" s="349">
        <f t="shared" si="11"/>
        <v>970338</v>
      </c>
      <c r="H1636" s="349">
        <v>2990774.4</v>
      </c>
    </row>
    <row r="1637" spans="1:8" ht="12.75">
      <c r="A1637" s="334" t="s">
        <v>1354</v>
      </c>
      <c r="B1637" s="334" t="s">
        <v>1052</v>
      </c>
      <c r="C1637" s="166"/>
      <c r="D1637" s="166" t="s">
        <v>900</v>
      </c>
      <c r="E1637" s="166"/>
      <c r="G1637" s="349">
        <f t="shared" si="11"/>
        <v>17198245.6</v>
      </c>
      <c r="H1637" s="349">
        <v>13968799.999999996</v>
      </c>
    </row>
    <row r="1638" spans="1:8" ht="12.75">
      <c r="A1638" s="334" t="s">
        <v>910</v>
      </c>
      <c r="B1638" s="334" t="s">
        <v>2041</v>
      </c>
      <c r="C1638" s="252"/>
      <c r="D1638" s="166" t="s">
        <v>1678</v>
      </c>
      <c r="E1638" s="166"/>
      <c r="G1638" s="349">
        <f aca="true" t="shared" si="12" ref="G1638:G1653">G325</f>
        <v>14900202</v>
      </c>
      <c r="H1638" s="349">
        <v>11765227.45</v>
      </c>
    </row>
    <row r="1639" spans="1:8" ht="12.75">
      <c r="A1639" s="334" t="s">
        <v>910</v>
      </c>
      <c r="B1639" s="334" t="s">
        <v>731</v>
      </c>
      <c r="C1639" s="166"/>
      <c r="D1639" s="166" t="s">
        <v>1679</v>
      </c>
      <c r="E1639" s="166"/>
      <c r="G1639" s="349">
        <f t="shared" si="12"/>
        <v>1614160</v>
      </c>
      <c r="H1639" s="349">
        <v>1467704.25</v>
      </c>
    </row>
    <row r="1640" spans="1:8" ht="12.75">
      <c r="A1640" s="334" t="s">
        <v>910</v>
      </c>
      <c r="B1640" s="334" t="s">
        <v>2023</v>
      </c>
      <c r="C1640" s="252"/>
      <c r="D1640" s="166" t="s">
        <v>1680</v>
      </c>
      <c r="E1640" s="166"/>
      <c r="G1640" s="349">
        <f t="shared" si="12"/>
        <v>9113258</v>
      </c>
      <c r="H1640" s="349">
        <v>6860425.35</v>
      </c>
    </row>
    <row r="1641" spans="1:8" ht="12.75">
      <c r="A1641" s="334" t="s">
        <v>910</v>
      </c>
      <c r="B1641" s="334" t="s">
        <v>2044</v>
      </c>
      <c r="C1641" s="252"/>
      <c r="D1641" s="166" t="s">
        <v>1681</v>
      </c>
      <c r="E1641" s="166"/>
      <c r="G1641" s="349">
        <f t="shared" si="12"/>
        <v>9976347</v>
      </c>
      <c r="H1641" s="349">
        <v>8048497</v>
      </c>
    </row>
    <row r="1642" spans="1:8" ht="12.75">
      <c r="A1642" s="334" t="s">
        <v>910</v>
      </c>
      <c r="B1642" s="334" t="s">
        <v>2018</v>
      </c>
      <c r="C1642" s="252"/>
      <c r="D1642" s="166" t="s">
        <v>453</v>
      </c>
      <c r="E1642" s="166"/>
      <c r="G1642" s="349">
        <f t="shared" si="12"/>
        <v>11506835</v>
      </c>
      <c r="H1642" s="349">
        <v>9644156</v>
      </c>
    </row>
    <row r="1643" spans="1:8" ht="12.75">
      <c r="A1643" s="334" t="s">
        <v>910</v>
      </c>
      <c r="B1643" s="334" t="s">
        <v>1696</v>
      </c>
      <c r="C1643" s="252"/>
      <c r="D1643" s="166" t="s">
        <v>454</v>
      </c>
      <c r="E1643" s="166"/>
      <c r="G1643" s="349">
        <f t="shared" si="12"/>
        <v>12988440</v>
      </c>
      <c r="H1643" s="349">
        <v>11239265</v>
      </c>
    </row>
    <row r="1644" spans="1:8" ht="12.75">
      <c r="A1644" s="334" t="s">
        <v>910</v>
      </c>
      <c r="B1644" s="334" t="s">
        <v>2032</v>
      </c>
      <c r="C1644" s="252"/>
      <c r="D1644" s="166" t="s">
        <v>1022</v>
      </c>
      <c r="E1644" s="166"/>
      <c r="G1644" s="349">
        <f t="shared" si="12"/>
        <v>15562757</v>
      </c>
      <c r="H1644" s="349">
        <v>13099166.45</v>
      </c>
    </row>
    <row r="1645" spans="1:8" ht="12.75">
      <c r="A1645" s="334" t="s">
        <v>910</v>
      </c>
      <c r="B1645" s="334" t="s">
        <v>1038</v>
      </c>
      <c r="C1645" s="252"/>
      <c r="D1645" s="166" t="s">
        <v>1023</v>
      </c>
      <c r="E1645" s="166"/>
      <c r="G1645" s="349">
        <f t="shared" si="12"/>
        <v>0</v>
      </c>
      <c r="H1645" s="349">
        <v>0</v>
      </c>
    </row>
    <row r="1646" spans="1:8" ht="12.75">
      <c r="A1646" s="334" t="s">
        <v>910</v>
      </c>
      <c r="B1646" s="334" t="s">
        <v>1040</v>
      </c>
      <c r="C1646" s="252"/>
      <c r="D1646" s="166" t="s">
        <v>1024</v>
      </c>
      <c r="E1646" s="166"/>
      <c r="G1646" s="349">
        <f t="shared" si="12"/>
        <v>27569843</v>
      </c>
      <c r="H1646" s="349">
        <v>21859728</v>
      </c>
    </row>
    <row r="1647" spans="1:8" ht="12.75">
      <c r="A1647" s="334" t="s">
        <v>910</v>
      </c>
      <c r="B1647" s="334" t="s">
        <v>1042</v>
      </c>
      <c r="C1647" s="166"/>
      <c r="D1647" s="166" t="s">
        <v>1025</v>
      </c>
      <c r="E1647" s="166"/>
      <c r="G1647" s="349">
        <f t="shared" si="12"/>
        <v>3441746</v>
      </c>
      <c r="H1647" s="349">
        <v>3130504.7</v>
      </c>
    </row>
    <row r="1648" spans="1:8" ht="12.75">
      <c r="A1648" s="334" t="s">
        <v>910</v>
      </c>
      <c r="B1648" s="334" t="s">
        <v>1743</v>
      </c>
      <c r="C1648" s="166"/>
      <c r="D1648" s="166" t="s">
        <v>1026</v>
      </c>
      <c r="E1648" s="166"/>
      <c r="G1648" s="349">
        <f t="shared" si="12"/>
        <v>3559287</v>
      </c>
      <c r="H1648" s="349">
        <v>3014601</v>
      </c>
    </row>
    <row r="1649" spans="1:8" ht="12.75">
      <c r="A1649" s="334" t="s">
        <v>910</v>
      </c>
      <c r="B1649" s="334" t="s">
        <v>1045</v>
      </c>
      <c r="C1649" s="252"/>
      <c r="D1649" s="166" t="s">
        <v>978</v>
      </c>
      <c r="E1649" s="166"/>
      <c r="G1649" s="349">
        <f t="shared" si="12"/>
        <v>16294907</v>
      </c>
      <c r="H1649" s="349">
        <v>13953600</v>
      </c>
    </row>
    <row r="1650" spans="1:8" ht="12.75">
      <c r="A1650" s="334" t="s">
        <v>910</v>
      </c>
      <c r="B1650" s="334" t="s">
        <v>2034</v>
      </c>
      <c r="C1650" s="252"/>
      <c r="D1650" s="166" t="s">
        <v>979</v>
      </c>
      <c r="E1650" s="166"/>
      <c r="G1650" s="349">
        <f t="shared" si="12"/>
        <v>15855</v>
      </c>
      <c r="H1650" s="349">
        <v>1617794.85</v>
      </c>
    </row>
    <row r="1651" spans="1:8" ht="12.75">
      <c r="A1651" s="334" t="s">
        <v>910</v>
      </c>
      <c r="B1651" s="334" t="s">
        <v>1048</v>
      </c>
      <c r="C1651" s="252"/>
      <c r="D1651" s="166" t="s">
        <v>980</v>
      </c>
      <c r="E1651" s="166"/>
      <c r="G1651" s="349">
        <f t="shared" si="12"/>
        <v>1523642</v>
      </c>
      <c r="H1651" s="349">
        <v>1103309.45</v>
      </c>
    </row>
    <row r="1652" spans="1:8" ht="12.75">
      <c r="A1652" s="334" t="s">
        <v>910</v>
      </c>
      <c r="B1652" s="334" t="s">
        <v>1050</v>
      </c>
      <c r="C1652" s="166"/>
      <c r="D1652" s="166" t="s">
        <v>981</v>
      </c>
      <c r="E1652" s="166"/>
      <c r="G1652" s="349">
        <f t="shared" si="12"/>
        <v>1240510</v>
      </c>
      <c r="H1652" s="349">
        <v>918032.9</v>
      </c>
    </row>
    <row r="1653" spans="1:8" ht="12.75">
      <c r="A1653" s="334" t="s">
        <v>910</v>
      </c>
      <c r="B1653" s="334" t="s">
        <v>1052</v>
      </c>
      <c r="C1653" s="166"/>
      <c r="D1653" s="166" t="s">
        <v>982</v>
      </c>
      <c r="E1653" s="166"/>
      <c r="G1653" s="349">
        <f t="shared" si="12"/>
        <v>8143899</v>
      </c>
      <c r="H1653" s="349">
        <v>6508877.8</v>
      </c>
    </row>
    <row r="1654" spans="1:8" ht="12.75">
      <c r="A1654" s="334" t="s">
        <v>990</v>
      </c>
      <c r="B1654" s="334" t="s">
        <v>2041</v>
      </c>
      <c r="C1654" s="166"/>
      <c r="D1654" s="166" t="s">
        <v>440</v>
      </c>
      <c r="E1654" s="166"/>
      <c r="G1654" s="349">
        <f aca="true" t="shared" si="13" ref="G1654:G1664">G356</f>
        <v>9950367.65</v>
      </c>
      <c r="H1654" s="349">
        <v>6471098.65</v>
      </c>
    </row>
    <row r="1655" spans="1:8" ht="12.75">
      <c r="A1655" s="334" t="s">
        <v>990</v>
      </c>
      <c r="B1655" s="334" t="s">
        <v>2023</v>
      </c>
      <c r="C1655" s="166"/>
      <c r="D1655" s="166" t="s">
        <v>1514</v>
      </c>
      <c r="E1655" s="166"/>
      <c r="G1655" s="349">
        <f t="shared" si="13"/>
        <v>11946077.16</v>
      </c>
      <c r="H1655" s="349">
        <v>7709103.3100000005</v>
      </c>
    </row>
    <row r="1656" spans="1:8" ht="12.75">
      <c r="A1656" s="334" t="s">
        <v>990</v>
      </c>
      <c r="B1656" s="334" t="s">
        <v>2044</v>
      </c>
      <c r="C1656" s="166"/>
      <c r="D1656" s="166" t="s">
        <v>1515</v>
      </c>
      <c r="E1656" s="166"/>
      <c r="G1656" s="349">
        <f t="shared" si="13"/>
        <v>14165799.24</v>
      </c>
      <c r="H1656" s="349">
        <v>9573580.75</v>
      </c>
    </row>
    <row r="1657" spans="1:8" ht="12.75">
      <c r="A1657" s="334" t="s">
        <v>990</v>
      </c>
      <c r="B1657" s="334" t="s">
        <v>2018</v>
      </c>
      <c r="C1657" s="166"/>
      <c r="D1657" s="166" t="s">
        <v>1516</v>
      </c>
      <c r="E1657" s="166"/>
      <c r="G1657" s="349">
        <f t="shared" si="13"/>
        <v>14781703.56</v>
      </c>
      <c r="H1657" s="349">
        <v>10210424.48</v>
      </c>
    </row>
    <row r="1658" spans="1:8" ht="12.75">
      <c r="A1658" s="334" t="s">
        <v>990</v>
      </c>
      <c r="B1658" s="334" t="s">
        <v>1696</v>
      </c>
      <c r="C1658" s="166"/>
      <c r="D1658" s="166" t="s">
        <v>1517</v>
      </c>
      <c r="E1658" s="166"/>
      <c r="G1658" s="349">
        <f t="shared" si="13"/>
        <v>14165799.24</v>
      </c>
      <c r="H1658" s="349">
        <v>9996399.5</v>
      </c>
    </row>
    <row r="1659" spans="1:8" ht="12.75">
      <c r="A1659" s="334" t="s">
        <v>990</v>
      </c>
      <c r="B1659" s="334" t="s">
        <v>2032</v>
      </c>
      <c r="C1659" s="166"/>
      <c r="D1659" s="166" t="s">
        <v>1518</v>
      </c>
      <c r="E1659" s="166"/>
      <c r="G1659" s="349">
        <f t="shared" si="13"/>
        <v>21149052.54</v>
      </c>
      <c r="H1659" s="349">
        <v>13987768.729999999</v>
      </c>
    </row>
    <row r="1660" spans="1:8" ht="12.75">
      <c r="A1660" s="334" t="s">
        <v>990</v>
      </c>
      <c r="B1660" s="334" t="s">
        <v>1040</v>
      </c>
      <c r="C1660" s="166"/>
      <c r="D1660" s="166" t="s">
        <v>1406</v>
      </c>
      <c r="E1660" s="166"/>
      <c r="G1660" s="349">
        <f t="shared" si="13"/>
        <v>26375435.16</v>
      </c>
      <c r="H1660" s="349">
        <v>18434616.77</v>
      </c>
    </row>
    <row r="1661" spans="1:8" ht="12.75">
      <c r="A1661" s="334" t="s">
        <v>990</v>
      </c>
      <c r="B1661" s="334" t="s">
        <v>1042</v>
      </c>
      <c r="C1661" s="166"/>
      <c r="D1661" s="166" t="s">
        <v>1407</v>
      </c>
      <c r="E1661" s="166"/>
      <c r="G1661" s="349">
        <f t="shared" si="13"/>
        <v>4419780.6</v>
      </c>
      <c r="H1661" s="349">
        <v>2944290.72</v>
      </c>
    </row>
    <row r="1662" spans="1:8" ht="12.75">
      <c r="A1662" s="334" t="s">
        <v>990</v>
      </c>
      <c r="B1662" s="334" t="s">
        <v>1743</v>
      </c>
      <c r="C1662" s="166"/>
      <c r="D1662" s="166" t="s">
        <v>1387</v>
      </c>
      <c r="E1662" s="166"/>
      <c r="G1662" s="349">
        <f t="shared" si="13"/>
        <v>3611843.09</v>
      </c>
      <c r="H1662" s="349">
        <v>2552606.11</v>
      </c>
    </row>
    <row r="1663" spans="1:8" ht="12.75">
      <c r="A1663" s="334" t="s">
        <v>990</v>
      </c>
      <c r="B1663" s="334" t="s">
        <v>1045</v>
      </c>
      <c r="C1663" s="166"/>
      <c r="D1663" s="166" t="s">
        <v>1388</v>
      </c>
      <c r="E1663" s="166"/>
      <c r="G1663" s="349">
        <f t="shared" si="13"/>
        <v>16533517.91</v>
      </c>
      <c r="H1663" s="349">
        <v>12102628.090000002</v>
      </c>
    </row>
    <row r="1664" spans="1:8" ht="12.75">
      <c r="A1664" s="334" t="s">
        <v>990</v>
      </c>
      <c r="B1664" s="334" t="s">
        <v>2034</v>
      </c>
      <c r="C1664" s="166"/>
      <c r="D1664" s="166" t="s">
        <v>1389</v>
      </c>
      <c r="E1664" s="166"/>
      <c r="G1664" s="349">
        <f t="shared" si="13"/>
        <v>11256480.71</v>
      </c>
      <c r="H1664" s="349">
        <v>8281293.889999999</v>
      </c>
    </row>
    <row r="1665" spans="1:8" ht="12.75">
      <c r="A1665" s="334" t="s">
        <v>144</v>
      </c>
      <c r="B1665" s="334" t="s">
        <v>2041</v>
      </c>
      <c r="C1665" s="166"/>
      <c r="D1665" s="166" t="s">
        <v>153</v>
      </c>
      <c r="E1665" s="166"/>
      <c r="G1665" s="352">
        <f aca="true" t="shared" si="14" ref="G1665:G1680">G387</f>
        <v>34368628.85</v>
      </c>
      <c r="H1665" s="352">
        <v>23609597.889999997</v>
      </c>
    </row>
    <row r="1666" spans="1:8" ht="12.75">
      <c r="A1666" s="334" t="s">
        <v>144</v>
      </c>
      <c r="B1666" s="334" t="s">
        <v>731</v>
      </c>
      <c r="C1666" s="252"/>
      <c r="D1666" s="166" t="s">
        <v>154</v>
      </c>
      <c r="E1666" s="166"/>
      <c r="G1666" s="352">
        <f t="shared" si="14"/>
        <v>3980098</v>
      </c>
      <c r="H1666" s="352">
        <v>5540036</v>
      </c>
    </row>
    <row r="1667" spans="1:8" ht="12.75">
      <c r="A1667" s="334" t="s">
        <v>144</v>
      </c>
      <c r="B1667" s="334" t="s">
        <v>2023</v>
      </c>
      <c r="C1667" s="252"/>
      <c r="D1667" s="166" t="s">
        <v>155</v>
      </c>
      <c r="E1667" s="166"/>
      <c r="G1667" s="352">
        <f t="shared" si="14"/>
        <v>19377441.33</v>
      </c>
      <c r="H1667" s="352">
        <v>12876936.65</v>
      </c>
    </row>
    <row r="1668" spans="1:8" ht="12.75">
      <c r="A1668" s="334" t="s">
        <v>144</v>
      </c>
      <c r="B1668" s="334" t="s">
        <v>2044</v>
      </c>
      <c r="C1668" s="252"/>
      <c r="D1668" s="166" t="s">
        <v>156</v>
      </c>
      <c r="E1668" s="166"/>
      <c r="G1668" s="352">
        <f t="shared" si="14"/>
        <v>19002739.88</v>
      </c>
      <c r="H1668" s="352">
        <v>10495927.059999999</v>
      </c>
    </row>
    <row r="1669" spans="1:8" ht="12.75">
      <c r="A1669" s="334" t="s">
        <v>144</v>
      </c>
      <c r="B1669" s="334" t="s">
        <v>2018</v>
      </c>
      <c r="C1669" s="252"/>
      <c r="D1669" s="166" t="s">
        <v>157</v>
      </c>
      <c r="E1669" s="166"/>
      <c r="G1669" s="352">
        <f t="shared" si="14"/>
        <v>23662919.19</v>
      </c>
      <c r="H1669" s="352">
        <v>15127738.829999998</v>
      </c>
    </row>
    <row r="1670" spans="1:8" ht="12.75">
      <c r="A1670" s="334" t="s">
        <v>144</v>
      </c>
      <c r="B1670" s="334" t="s">
        <v>1696</v>
      </c>
      <c r="C1670" s="252"/>
      <c r="D1670" s="166" t="s">
        <v>158</v>
      </c>
      <c r="E1670" s="166"/>
      <c r="G1670" s="352">
        <f t="shared" si="14"/>
        <v>25174135.08</v>
      </c>
      <c r="H1670" s="352">
        <v>16010491.160000002</v>
      </c>
    </row>
    <row r="1671" spans="1:8" ht="12.75">
      <c r="A1671" s="334" t="s">
        <v>144</v>
      </c>
      <c r="B1671" s="334" t="s">
        <v>2032</v>
      </c>
      <c r="C1671" s="252"/>
      <c r="D1671" s="166" t="s">
        <v>159</v>
      </c>
      <c r="E1671" s="166"/>
      <c r="G1671" s="352">
        <f t="shared" si="14"/>
        <v>30059418.43</v>
      </c>
      <c r="H1671" s="352">
        <v>12190023.46</v>
      </c>
    </row>
    <row r="1672" spans="1:8" ht="12.75">
      <c r="A1672" s="334" t="s">
        <v>144</v>
      </c>
      <c r="B1672" s="334" t="s">
        <v>1038</v>
      </c>
      <c r="C1672" s="252"/>
      <c r="D1672" s="166" t="s">
        <v>160</v>
      </c>
      <c r="E1672" s="252"/>
      <c r="G1672" s="352">
        <f t="shared" si="14"/>
        <v>0</v>
      </c>
      <c r="H1672" s="352">
        <v>0</v>
      </c>
    </row>
    <row r="1673" spans="1:8" ht="12.75">
      <c r="A1673" s="334" t="s">
        <v>144</v>
      </c>
      <c r="B1673" s="334" t="s">
        <v>1040</v>
      </c>
      <c r="C1673" s="252"/>
      <c r="D1673" s="166" t="s">
        <v>161</v>
      </c>
      <c r="E1673" s="166"/>
      <c r="G1673" s="352">
        <f t="shared" si="14"/>
        <v>45247353.47</v>
      </c>
      <c r="H1673" s="352">
        <v>21307007.730000004</v>
      </c>
    </row>
    <row r="1674" spans="1:8" ht="12.75">
      <c r="A1674" s="334" t="s">
        <v>144</v>
      </c>
      <c r="B1674" s="334" t="s">
        <v>1042</v>
      </c>
      <c r="C1674" s="252"/>
      <c r="D1674" s="166" t="s">
        <v>162</v>
      </c>
      <c r="E1674" s="166"/>
      <c r="G1674" s="352">
        <f t="shared" si="14"/>
        <v>6806815.83</v>
      </c>
      <c r="H1674" s="352">
        <v>3283426.37</v>
      </c>
    </row>
    <row r="1675" spans="1:8" ht="12.75">
      <c r="A1675" s="334" t="s">
        <v>144</v>
      </c>
      <c r="B1675" s="334" t="s">
        <v>1743</v>
      </c>
      <c r="C1675" s="252"/>
      <c r="D1675" s="166" t="s">
        <v>822</v>
      </c>
      <c r="E1675" s="166"/>
      <c r="G1675" s="352">
        <f t="shared" si="14"/>
        <v>7404209.72</v>
      </c>
      <c r="H1675" s="352">
        <v>3783748.08</v>
      </c>
    </row>
    <row r="1676" spans="1:8" ht="12.75">
      <c r="A1676" s="334" t="s">
        <v>144</v>
      </c>
      <c r="B1676" s="334" t="s">
        <v>1045</v>
      </c>
      <c r="C1676" s="252"/>
      <c r="D1676" s="166" t="s">
        <v>823</v>
      </c>
      <c r="E1676" s="166"/>
      <c r="G1676" s="352">
        <f t="shared" si="14"/>
        <v>35120422.63</v>
      </c>
      <c r="H1676" s="352">
        <v>21994632.93</v>
      </c>
    </row>
    <row r="1677" spans="1:8" ht="12.75">
      <c r="A1677" s="334" t="s">
        <v>144</v>
      </c>
      <c r="B1677" s="334" t="s">
        <v>2034</v>
      </c>
      <c r="C1677" s="252"/>
      <c r="D1677" s="166" t="s">
        <v>824</v>
      </c>
      <c r="E1677" s="359"/>
      <c r="G1677" s="352">
        <f t="shared" si="14"/>
        <v>2485280.78</v>
      </c>
      <c r="H1677" s="352">
        <v>11455282.879999999</v>
      </c>
    </row>
    <row r="1678" spans="1:8" ht="12.75">
      <c r="A1678" s="334" t="s">
        <v>144</v>
      </c>
      <c r="B1678" s="334" t="s">
        <v>1048</v>
      </c>
      <c r="C1678" s="252"/>
      <c r="D1678" s="166" t="s">
        <v>825</v>
      </c>
      <c r="E1678" s="166"/>
      <c r="G1678" s="352">
        <f t="shared" si="14"/>
        <v>3612750</v>
      </c>
      <c r="H1678" s="352">
        <v>2793472</v>
      </c>
    </row>
    <row r="1679" spans="1:8" ht="12.75">
      <c r="A1679" s="334" t="s">
        <v>144</v>
      </c>
      <c r="B1679" s="334" t="s">
        <v>1050</v>
      </c>
      <c r="C1679" s="252"/>
      <c r="D1679" s="166" t="s">
        <v>826</v>
      </c>
      <c r="E1679" s="166"/>
      <c r="G1679" s="352">
        <f t="shared" si="14"/>
        <v>2465507</v>
      </c>
      <c r="H1679" s="352">
        <v>1200000</v>
      </c>
    </row>
    <row r="1680" spans="1:8" ht="12.75">
      <c r="A1680" s="334" t="s">
        <v>144</v>
      </c>
      <c r="B1680" s="334" t="s">
        <v>1052</v>
      </c>
      <c r="C1680" s="252"/>
      <c r="D1680" s="166" t="s">
        <v>827</v>
      </c>
      <c r="E1680" s="166"/>
      <c r="G1680" s="352">
        <f t="shared" si="14"/>
        <v>12169689</v>
      </c>
      <c r="H1680" s="352">
        <v>1200000</v>
      </c>
    </row>
    <row r="1681" spans="5:8" ht="12.75">
      <c r="E1681" s="252"/>
      <c r="G1681" s="357"/>
      <c r="H1681" s="357"/>
    </row>
    <row r="1682" spans="2:8" ht="12.75">
      <c r="B1682" s="166"/>
      <c r="C1682" s="245"/>
      <c r="D1682" s="236" t="s">
        <v>943</v>
      </c>
      <c r="E1682" s="359"/>
      <c r="F1682" s="236"/>
      <c r="G1682" s="358">
        <f>SUM(G1574:G1681)</f>
        <v>2816255771.739999</v>
      </c>
      <c r="H1682" s="358">
        <f>SUM(H1574:H1681)</f>
        <v>1998783488.49</v>
      </c>
    </row>
    <row r="1683" spans="5:8" ht="12.75">
      <c r="E1683" s="252"/>
      <c r="G1683" s="357"/>
      <c r="H1683" s="357"/>
    </row>
    <row r="1684" spans="2:8" ht="12.75">
      <c r="B1684" s="166"/>
      <c r="C1684" s="245"/>
      <c r="D1684" s="244"/>
      <c r="E1684" s="244"/>
      <c r="G1684" s="352"/>
      <c r="H1684" s="352"/>
    </row>
    <row r="1685" spans="2:8" ht="12.75">
      <c r="B1685" s="341"/>
      <c r="C1685" s="221">
        <v>305520</v>
      </c>
      <c r="D1685" s="222" t="s">
        <v>1901</v>
      </c>
      <c r="E1685" s="244"/>
      <c r="G1685" s="352"/>
      <c r="H1685" s="352"/>
    </row>
    <row r="1686" spans="1:8" ht="12.75">
      <c r="A1686" s="334" t="s">
        <v>1398</v>
      </c>
      <c r="B1686" s="334" t="s">
        <v>2041</v>
      </c>
      <c r="C1686" s="166"/>
      <c r="D1686" s="166" t="s">
        <v>843</v>
      </c>
      <c r="E1686" s="244"/>
      <c r="G1686" s="352">
        <f>G422</f>
        <v>23146271.32</v>
      </c>
      <c r="H1686" s="352">
        <v>77187540.28999999</v>
      </c>
    </row>
    <row r="1687" spans="1:8" ht="12.75">
      <c r="A1687" s="334" t="s">
        <v>1398</v>
      </c>
      <c r="B1687" s="334" t="s">
        <v>2034</v>
      </c>
      <c r="C1687" s="166"/>
      <c r="D1687" s="166" t="s">
        <v>844</v>
      </c>
      <c r="E1687" s="222"/>
      <c r="G1687" s="352">
        <f>G423</f>
        <v>57599500.57</v>
      </c>
      <c r="H1687" s="352">
        <v>65784415.19</v>
      </c>
    </row>
    <row r="1688" spans="2:8" ht="12.75">
      <c r="B1688" s="166"/>
      <c r="C1688" s="245"/>
      <c r="D1688" s="166" t="s">
        <v>1399</v>
      </c>
      <c r="E1688" s="244"/>
      <c r="G1688" s="352">
        <v>0</v>
      </c>
      <c r="H1688" s="352">
        <v>0</v>
      </c>
    </row>
    <row r="1689" spans="2:8" ht="12.75">
      <c r="B1689" s="166"/>
      <c r="C1689" s="345"/>
      <c r="D1689" s="236" t="s">
        <v>943</v>
      </c>
      <c r="E1689" s="236"/>
      <c r="F1689" s="236"/>
      <c r="G1689" s="358">
        <f>SUM(G1686:G1688)</f>
        <v>80745771.89</v>
      </c>
      <c r="H1689" s="358">
        <f>SUM(H1686:H1688)</f>
        <v>142971955.48</v>
      </c>
    </row>
    <row r="1690" spans="2:8" ht="12.75">
      <c r="B1690" s="166"/>
      <c r="C1690" s="245"/>
      <c r="D1690" s="244"/>
      <c r="E1690" s="244"/>
      <c r="G1690" s="352"/>
      <c r="H1690" s="352"/>
    </row>
    <row r="1691" spans="2:8" ht="12.75">
      <c r="B1691" s="341"/>
      <c r="C1691" s="221">
        <v>305530</v>
      </c>
      <c r="D1691" s="222" t="s">
        <v>1902</v>
      </c>
      <c r="E1691" s="244"/>
      <c r="G1691" s="352"/>
      <c r="H1691" s="352"/>
    </row>
    <row r="1692" spans="1:8" ht="12.75">
      <c r="A1692" s="334" t="s">
        <v>847</v>
      </c>
      <c r="B1692" s="334" t="s">
        <v>2023</v>
      </c>
      <c r="C1692" s="252"/>
      <c r="D1692" s="166" t="s">
        <v>850</v>
      </c>
      <c r="E1692" s="244"/>
      <c r="G1692" s="352">
        <f>G428</f>
        <v>107167750.77</v>
      </c>
      <c r="H1692" s="352">
        <v>300936719.1</v>
      </c>
    </row>
    <row r="1693" spans="1:8" ht="12.75">
      <c r="A1693" s="334"/>
      <c r="B1693" s="334" t="s">
        <v>2044</v>
      </c>
      <c r="C1693" s="252"/>
      <c r="D1693" s="166" t="s">
        <v>851</v>
      </c>
      <c r="E1693" s="244"/>
      <c r="G1693" s="352">
        <f>G429</f>
        <v>11296742.76</v>
      </c>
      <c r="H1693" s="352">
        <v>1004800</v>
      </c>
    </row>
    <row r="1694" spans="1:8" ht="12.75">
      <c r="A1694" s="334" t="s">
        <v>847</v>
      </c>
      <c r="B1694" s="334" t="s">
        <v>2018</v>
      </c>
      <c r="C1694" s="252"/>
      <c r="D1694" s="166" t="s">
        <v>1693</v>
      </c>
      <c r="E1694" s="244"/>
      <c r="G1694" s="352">
        <f>G430</f>
        <v>0</v>
      </c>
      <c r="H1694" s="352">
        <v>165088876.5</v>
      </c>
    </row>
    <row r="1695" spans="1:8" ht="12.75">
      <c r="A1695" s="334" t="s">
        <v>847</v>
      </c>
      <c r="B1695" s="334" t="s">
        <v>1696</v>
      </c>
      <c r="C1695" s="252"/>
      <c r="D1695" s="166" t="s">
        <v>853</v>
      </c>
      <c r="E1695" s="222"/>
      <c r="G1695" s="352">
        <f>G431</f>
        <v>142811801.11</v>
      </c>
      <c r="H1695" s="352">
        <v>24429583.87</v>
      </c>
    </row>
    <row r="1696" spans="1:8" ht="12.75">
      <c r="A1696" s="334" t="s">
        <v>847</v>
      </c>
      <c r="B1696" s="334" t="s">
        <v>2032</v>
      </c>
      <c r="C1696" s="252"/>
      <c r="D1696" s="166" t="s">
        <v>854</v>
      </c>
      <c r="E1696" s="244"/>
      <c r="G1696" s="352">
        <f>G432</f>
        <v>0</v>
      </c>
      <c r="H1696" s="352">
        <v>0</v>
      </c>
    </row>
    <row r="1697" spans="2:8" ht="12.75">
      <c r="B1697" s="166"/>
      <c r="C1697" s="345"/>
      <c r="D1697" s="236" t="s">
        <v>943</v>
      </c>
      <c r="E1697" s="236"/>
      <c r="F1697" s="236"/>
      <c r="G1697" s="358">
        <f>SUM(G1692:G1696)</f>
        <v>261276294.64000002</v>
      </c>
      <c r="H1697" s="358">
        <f>SUM(H1692:H1696)</f>
        <v>491459979.47</v>
      </c>
    </row>
    <row r="1698" spans="2:8" ht="12.75">
      <c r="B1698" s="166"/>
      <c r="C1698" s="245"/>
      <c r="D1698" s="244"/>
      <c r="E1698" s="244"/>
      <c r="G1698" s="352"/>
      <c r="H1698" s="352"/>
    </row>
    <row r="1699" spans="2:8" ht="12.75">
      <c r="B1699" s="341"/>
      <c r="C1699" s="221">
        <v>305540</v>
      </c>
      <c r="D1699" s="222" t="s">
        <v>546</v>
      </c>
      <c r="E1699" s="244"/>
      <c r="G1699" s="352"/>
      <c r="H1699" s="352"/>
    </row>
    <row r="1700" spans="1:8" ht="12.75">
      <c r="A1700" s="334" t="s">
        <v>835</v>
      </c>
      <c r="B1700" s="334" t="s">
        <v>2041</v>
      </c>
      <c r="C1700" s="252"/>
      <c r="D1700" s="166" t="s">
        <v>1392</v>
      </c>
      <c r="E1700" s="244"/>
      <c r="G1700" s="352">
        <f>G410</f>
        <v>188536144.44</v>
      </c>
      <c r="H1700" s="352">
        <v>89286349.08</v>
      </c>
    </row>
    <row r="1701" spans="1:8" ht="12.75">
      <c r="A1701" s="334" t="s">
        <v>856</v>
      </c>
      <c r="B1701" s="334" t="s">
        <v>2023</v>
      </c>
      <c r="C1701" s="252"/>
      <c r="D1701" s="166" t="s">
        <v>857</v>
      </c>
      <c r="E1701" s="222"/>
      <c r="G1701" s="352">
        <f>G434</f>
        <v>203054663.44</v>
      </c>
      <c r="H1701" s="352">
        <v>90832212.39999995</v>
      </c>
    </row>
    <row r="1702" spans="1:8" ht="12.75">
      <c r="A1702" s="334" t="s">
        <v>856</v>
      </c>
      <c r="B1702" s="334" t="s">
        <v>2044</v>
      </c>
      <c r="C1702" s="252"/>
      <c r="D1702" s="166" t="s">
        <v>547</v>
      </c>
      <c r="E1702" s="222"/>
      <c r="G1702" s="352">
        <f>G435</f>
        <v>38044230.78</v>
      </c>
      <c r="H1702" s="352">
        <v>14652000</v>
      </c>
    </row>
    <row r="1703" spans="1:8" ht="12.75">
      <c r="A1703" s="334" t="s">
        <v>856</v>
      </c>
      <c r="B1703" s="334" t="s">
        <v>2018</v>
      </c>
      <c r="C1703" s="252"/>
      <c r="D1703" s="166" t="s">
        <v>859</v>
      </c>
      <c r="E1703" s="244"/>
      <c r="G1703" s="352">
        <f>G436</f>
        <v>194118553.45</v>
      </c>
      <c r="H1703" s="352">
        <v>124327579.91</v>
      </c>
    </row>
    <row r="1704" spans="1:8" ht="12.75">
      <c r="A1704" s="334" t="s">
        <v>856</v>
      </c>
      <c r="B1704" s="334" t="s">
        <v>1696</v>
      </c>
      <c r="C1704" s="252"/>
      <c r="D1704" s="166" t="s">
        <v>860</v>
      </c>
      <c r="E1704" s="244"/>
      <c r="G1704" s="352">
        <f>G437</f>
        <v>139873039.7</v>
      </c>
      <c r="H1704" s="352">
        <v>107005719.05000001</v>
      </c>
    </row>
    <row r="1705" spans="1:8" ht="12.75">
      <c r="A1705" s="334" t="s">
        <v>856</v>
      </c>
      <c r="B1705" s="334" t="s">
        <v>2032</v>
      </c>
      <c r="C1705" s="252"/>
      <c r="D1705" s="166" t="s">
        <v>861</v>
      </c>
      <c r="E1705" s="244"/>
      <c r="G1705" s="352">
        <f>G438</f>
        <v>65671735.13</v>
      </c>
      <c r="H1705" s="352">
        <v>61114369.46</v>
      </c>
    </row>
    <row r="1706" spans="1:8" ht="12.75">
      <c r="A1706" s="334" t="s">
        <v>863</v>
      </c>
      <c r="B1706" s="334" t="s">
        <v>2041</v>
      </c>
      <c r="C1706" s="252"/>
      <c r="D1706" s="166" t="s">
        <v>872</v>
      </c>
      <c r="E1706" s="244"/>
      <c r="G1706" s="352">
        <f aca="true" t="shared" si="15" ref="G1706:G1721">G448</f>
        <v>11265647.42</v>
      </c>
      <c r="H1706" s="352">
        <v>8948687.910000002</v>
      </c>
    </row>
    <row r="1707" spans="1:8" ht="12.75">
      <c r="A1707" s="334" t="s">
        <v>863</v>
      </c>
      <c r="B1707" s="334" t="s">
        <v>731</v>
      </c>
      <c r="C1707" s="166"/>
      <c r="D1707" s="166" t="s">
        <v>873</v>
      </c>
      <c r="E1707" s="244"/>
      <c r="G1707" s="352">
        <f t="shared" si="15"/>
        <v>0</v>
      </c>
      <c r="H1707" s="352">
        <v>0</v>
      </c>
    </row>
    <row r="1708" spans="1:8" ht="12.75">
      <c r="A1708" s="334" t="s">
        <v>863</v>
      </c>
      <c r="B1708" s="334" t="s">
        <v>2023</v>
      </c>
      <c r="C1708" s="166"/>
      <c r="D1708" s="166" t="s">
        <v>874</v>
      </c>
      <c r="E1708" s="244"/>
      <c r="G1708" s="352">
        <f t="shared" si="15"/>
        <v>656848.78</v>
      </c>
      <c r="H1708" s="352">
        <v>315029.05</v>
      </c>
    </row>
    <row r="1709" spans="1:8" ht="12.75">
      <c r="A1709" s="334" t="s">
        <v>863</v>
      </c>
      <c r="B1709" s="334" t="s">
        <v>2044</v>
      </c>
      <c r="C1709" s="252"/>
      <c r="D1709" s="166" t="s">
        <v>875</v>
      </c>
      <c r="E1709" s="244"/>
      <c r="G1709" s="352">
        <f t="shared" si="15"/>
        <v>1959292.04</v>
      </c>
      <c r="H1709" s="352">
        <v>1170839.15</v>
      </c>
    </row>
    <row r="1710" spans="1:8" ht="12.75">
      <c r="A1710" s="334" t="s">
        <v>863</v>
      </c>
      <c r="B1710" s="334" t="s">
        <v>2018</v>
      </c>
      <c r="C1710" s="252"/>
      <c r="D1710" s="166" t="s">
        <v>876</v>
      </c>
      <c r="E1710" s="244"/>
      <c r="G1710" s="352">
        <f t="shared" si="15"/>
        <v>1289768.91</v>
      </c>
      <c r="H1710" s="353">
        <v>525542.85</v>
      </c>
    </row>
    <row r="1711" spans="1:8" ht="12.75">
      <c r="A1711" s="334" t="s">
        <v>863</v>
      </c>
      <c r="B1711" s="334" t="s">
        <v>1696</v>
      </c>
      <c r="C1711" s="252"/>
      <c r="D1711" s="166" t="s">
        <v>877</v>
      </c>
      <c r="E1711" s="244"/>
      <c r="G1711" s="352">
        <f t="shared" si="15"/>
        <v>2239333.58</v>
      </c>
      <c r="H1711" s="352">
        <v>1886242.75</v>
      </c>
    </row>
    <row r="1712" spans="1:8" ht="12.75">
      <c r="A1712" s="334" t="s">
        <v>863</v>
      </c>
      <c r="B1712" s="334" t="s">
        <v>2032</v>
      </c>
      <c r="C1712" s="166"/>
      <c r="D1712" s="166" t="s">
        <v>878</v>
      </c>
      <c r="E1712" s="244"/>
      <c r="G1712" s="352">
        <f t="shared" si="15"/>
        <v>1323465.53</v>
      </c>
      <c r="H1712" s="352">
        <v>781763.53</v>
      </c>
    </row>
    <row r="1713" spans="1:8" ht="12.75">
      <c r="A1713" s="334" t="s">
        <v>863</v>
      </c>
      <c r="B1713" s="334" t="s">
        <v>1038</v>
      </c>
      <c r="C1713" s="252"/>
      <c r="D1713" s="166" t="s">
        <v>1577</v>
      </c>
      <c r="E1713" s="244"/>
      <c r="G1713" s="352">
        <f t="shared" si="15"/>
        <v>0</v>
      </c>
      <c r="H1713" s="352">
        <v>0</v>
      </c>
    </row>
    <row r="1714" spans="1:8" ht="12.75">
      <c r="A1714" s="334" t="s">
        <v>863</v>
      </c>
      <c r="B1714" s="334" t="s">
        <v>1040</v>
      </c>
      <c r="C1714" s="166"/>
      <c r="D1714" s="166" t="s">
        <v>1578</v>
      </c>
      <c r="E1714" s="244"/>
      <c r="G1714" s="352">
        <f t="shared" si="15"/>
        <v>1009724.69</v>
      </c>
      <c r="H1714" s="352">
        <v>691689.23</v>
      </c>
    </row>
    <row r="1715" spans="1:8" ht="12.75">
      <c r="A1715" s="334" t="s">
        <v>863</v>
      </c>
      <c r="B1715" s="334" t="s">
        <v>1042</v>
      </c>
      <c r="C1715" s="166"/>
      <c r="D1715" s="166" t="s">
        <v>1579</v>
      </c>
      <c r="E1715" s="244"/>
      <c r="G1715" s="352">
        <f t="shared" si="15"/>
        <v>630958.41</v>
      </c>
      <c r="H1715" s="352">
        <v>217936.55</v>
      </c>
    </row>
    <row r="1716" spans="1:8" ht="12.75">
      <c r="A1716" s="334" t="s">
        <v>863</v>
      </c>
      <c r="B1716" s="334" t="s">
        <v>1743</v>
      </c>
      <c r="C1716" s="252"/>
      <c r="D1716" s="166" t="s">
        <v>468</v>
      </c>
      <c r="E1716" s="244"/>
      <c r="G1716" s="352">
        <f t="shared" si="15"/>
        <v>766571.27</v>
      </c>
      <c r="H1716" s="349">
        <v>317748.56</v>
      </c>
    </row>
    <row r="1717" spans="1:8" ht="12.75">
      <c r="A1717" s="334" t="s">
        <v>863</v>
      </c>
      <c r="B1717" s="334" t="s">
        <v>1045</v>
      </c>
      <c r="C1717" s="252"/>
      <c r="D1717" s="166" t="s">
        <v>469</v>
      </c>
      <c r="E1717" s="244"/>
      <c r="G1717" s="352">
        <f t="shared" si="15"/>
        <v>1045186.73</v>
      </c>
      <c r="H1717" s="352">
        <v>863548.74</v>
      </c>
    </row>
    <row r="1718" spans="1:8" ht="12.75">
      <c r="A1718" s="334" t="s">
        <v>863</v>
      </c>
      <c r="B1718" s="334" t="s">
        <v>2034</v>
      </c>
      <c r="C1718" s="252"/>
      <c r="D1718" s="166" t="s">
        <v>1756</v>
      </c>
      <c r="E1718" s="244"/>
      <c r="G1718" s="352">
        <f t="shared" si="15"/>
        <v>1537743.78</v>
      </c>
      <c r="H1718" s="352">
        <v>946937.27</v>
      </c>
    </row>
    <row r="1719" spans="1:8" ht="12.75">
      <c r="A1719" s="334" t="s">
        <v>863</v>
      </c>
      <c r="B1719" s="334" t="s">
        <v>1048</v>
      </c>
      <c r="C1719" s="252"/>
      <c r="D1719" s="166" t="s">
        <v>1757</v>
      </c>
      <c r="E1719" s="244"/>
      <c r="G1719" s="352">
        <f t="shared" si="15"/>
        <v>0</v>
      </c>
      <c r="H1719" s="352">
        <v>0</v>
      </c>
    </row>
    <row r="1720" spans="1:8" ht="12.75">
      <c r="A1720" s="334" t="s">
        <v>863</v>
      </c>
      <c r="B1720" s="334" t="s">
        <v>1050</v>
      </c>
      <c r="C1720" s="252"/>
      <c r="D1720" s="166" t="s">
        <v>1758</v>
      </c>
      <c r="E1720" s="244"/>
      <c r="G1720" s="352">
        <f t="shared" si="15"/>
        <v>0</v>
      </c>
      <c r="H1720" s="352">
        <v>0</v>
      </c>
    </row>
    <row r="1721" spans="1:8" ht="12.75">
      <c r="A1721" s="334" t="s">
        <v>863</v>
      </c>
      <c r="B1721" s="334" t="s">
        <v>1052</v>
      </c>
      <c r="C1721" s="252"/>
      <c r="D1721" s="166" t="s">
        <v>649</v>
      </c>
      <c r="E1721" s="244"/>
      <c r="G1721" s="352">
        <f t="shared" si="15"/>
        <v>243000</v>
      </c>
      <c r="H1721" s="352">
        <v>0</v>
      </c>
    </row>
    <row r="1722" spans="1:8" ht="12.75">
      <c r="A1722" s="334" t="s">
        <v>947</v>
      </c>
      <c r="B1722" s="334" t="s">
        <v>2041</v>
      </c>
      <c r="C1722" s="252"/>
      <c r="D1722" s="166" t="s">
        <v>619</v>
      </c>
      <c r="E1722" s="244"/>
      <c r="G1722" s="349">
        <f aca="true" t="shared" si="16" ref="G1722:G1737">G480</f>
        <v>16927294.31</v>
      </c>
      <c r="H1722" s="349">
        <v>16085876.880000003</v>
      </c>
    </row>
    <row r="1723" spans="1:8" ht="12.75">
      <c r="A1723" s="334" t="s">
        <v>947</v>
      </c>
      <c r="B1723" s="334" t="s">
        <v>731</v>
      </c>
      <c r="C1723" s="166"/>
      <c r="D1723" s="166" t="s">
        <v>620</v>
      </c>
      <c r="E1723" s="244"/>
      <c r="G1723" s="349">
        <f t="shared" si="16"/>
        <v>126413.38</v>
      </c>
      <c r="H1723" s="352">
        <v>119799.17</v>
      </c>
    </row>
    <row r="1724" spans="1:8" ht="12.75">
      <c r="A1724" s="334" t="s">
        <v>947</v>
      </c>
      <c r="B1724" s="334" t="s">
        <v>2023</v>
      </c>
      <c r="C1724" s="166"/>
      <c r="D1724" s="166" t="s">
        <v>621</v>
      </c>
      <c r="E1724" s="244"/>
      <c r="G1724" s="349">
        <f t="shared" si="16"/>
        <v>912215.57</v>
      </c>
      <c r="H1724" s="352">
        <v>4045933.32</v>
      </c>
    </row>
    <row r="1725" spans="1:8" ht="12.75">
      <c r="A1725" s="334" t="s">
        <v>947</v>
      </c>
      <c r="B1725" s="334" t="s">
        <v>2044</v>
      </c>
      <c r="C1725" s="252"/>
      <c r="D1725" s="166" t="s">
        <v>622</v>
      </c>
      <c r="E1725" s="244"/>
      <c r="G1725" s="349">
        <f t="shared" si="16"/>
        <v>1360445.12</v>
      </c>
      <c r="H1725" s="352">
        <v>849375</v>
      </c>
    </row>
    <row r="1726" spans="1:8" ht="12.75">
      <c r="A1726" s="334" t="s">
        <v>947</v>
      </c>
      <c r="B1726" s="334" t="s">
        <v>2018</v>
      </c>
      <c r="C1726" s="252"/>
      <c r="D1726" s="166" t="s">
        <v>623</v>
      </c>
      <c r="E1726" s="244"/>
      <c r="G1726" s="349">
        <f t="shared" si="16"/>
        <v>691925.71</v>
      </c>
      <c r="H1726" s="352">
        <v>757918.12</v>
      </c>
    </row>
    <row r="1727" spans="1:8" ht="12.75">
      <c r="A1727" s="334" t="s">
        <v>947</v>
      </c>
      <c r="B1727" s="334" t="s">
        <v>1696</v>
      </c>
      <c r="C1727" s="252"/>
      <c r="D1727" s="166" t="s">
        <v>624</v>
      </c>
      <c r="E1727" s="244"/>
      <c r="G1727" s="349">
        <f t="shared" si="16"/>
        <v>2483205.53</v>
      </c>
      <c r="H1727" s="352">
        <v>6169035.160000001</v>
      </c>
    </row>
    <row r="1728" spans="1:8" ht="12.75">
      <c r="A1728" s="334" t="s">
        <v>947</v>
      </c>
      <c r="B1728" s="334" t="s">
        <v>2032</v>
      </c>
      <c r="C1728" s="166"/>
      <c r="D1728" s="166" t="s">
        <v>625</v>
      </c>
      <c r="E1728" s="244"/>
      <c r="G1728" s="349">
        <f t="shared" si="16"/>
        <v>1288908.83</v>
      </c>
      <c r="H1728" s="352">
        <v>1095900</v>
      </c>
    </row>
    <row r="1729" spans="1:8" ht="12.75">
      <c r="A1729" s="334" t="s">
        <v>947</v>
      </c>
      <c r="B1729" s="334" t="s">
        <v>1038</v>
      </c>
      <c r="C1729" s="252"/>
      <c r="D1729" s="166" t="s">
        <v>626</v>
      </c>
      <c r="E1729" s="244"/>
      <c r="G1729" s="349">
        <f t="shared" si="16"/>
        <v>0</v>
      </c>
      <c r="H1729" s="352">
        <v>59324</v>
      </c>
    </row>
    <row r="1730" spans="1:8" ht="12.75">
      <c r="A1730" s="334" t="s">
        <v>947</v>
      </c>
      <c r="B1730" s="334" t="s">
        <v>1040</v>
      </c>
      <c r="C1730" s="166"/>
      <c r="D1730" s="166" t="s">
        <v>627</v>
      </c>
      <c r="E1730" s="244"/>
      <c r="G1730" s="349">
        <f t="shared" si="16"/>
        <v>4774386.91</v>
      </c>
      <c r="H1730" s="352">
        <v>5653561.870000001</v>
      </c>
    </row>
    <row r="1731" spans="1:8" ht="12.75">
      <c r="A1731" s="334" t="s">
        <v>947</v>
      </c>
      <c r="B1731" s="334" t="s">
        <v>1042</v>
      </c>
      <c r="C1731" s="166"/>
      <c r="D1731" s="166" t="s">
        <v>628</v>
      </c>
      <c r="E1731" s="244"/>
      <c r="G1731" s="349">
        <f t="shared" si="16"/>
        <v>1121345.39</v>
      </c>
      <c r="H1731" s="352">
        <v>487108.33</v>
      </c>
    </row>
    <row r="1732" spans="1:8" ht="12.75">
      <c r="A1732" s="334" t="s">
        <v>947</v>
      </c>
      <c r="B1732" s="334" t="s">
        <v>1743</v>
      </c>
      <c r="C1732" s="252"/>
      <c r="D1732" s="166" t="s">
        <v>629</v>
      </c>
      <c r="E1732" s="244"/>
      <c r="G1732" s="349">
        <f t="shared" si="16"/>
        <v>555252.69</v>
      </c>
      <c r="H1732" s="352">
        <v>934379.41</v>
      </c>
    </row>
    <row r="1733" spans="1:8" ht="12.75">
      <c r="A1733" s="334" t="s">
        <v>947</v>
      </c>
      <c r="B1733" s="334" t="s">
        <v>1045</v>
      </c>
      <c r="C1733" s="252"/>
      <c r="D1733" s="166" t="s">
        <v>630</v>
      </c>
      <c r="E1733" s="244"/>
      <c r="G1733" s="349">
        <f t="shared" si="16"/>
        <v>3544164.81</v>
      </c>
      <c r="H1733" s="352">
        <v>3287341.67</v>
      </c>
    </row>
    <row r="1734" spans="1:8" ht="12.75">
      <c r="A1734" s="334" t="s">
        <v>947</v>
      </c>
      <c r="B1734" s="334" t="s">
        <v>2034</v>
      </c>
      <c r="C1734" s="252"/>
      <c r="D1734" s="166" t="s">
        <v>631</v>
      </c>
      <c r="E1734" s="244"/>
      <c r="G1734" s="349">
        <f t="shared" si="16"/>
        <v>4754485.32</v>
      </c>
      <c r="H1734" s="352">
        <v>3308789.87</v>
      </c>
    </row>
    <row r="1735" spans="1:8" ht="12.75">
      <c r="A1735" s="334" t="s">
        <v>947</v>
      </c>
      <c r="B1735" s="334" t="s">
        <v>1048</v>
      </c>
      <c r="C1735" s="252"/>
      <c r="D1735" s="166" t="s">
        <v>632</v>
      </c>
      <c r="E1735" s="244"/>
      <c r="G1735" s="349">
        <f t="shared" si="16"/>
        <v>0</v>
      </c>
      <c r="H1735" s="352">
        <v>0</v>
      </c>
    </row>
    <row r="1736" spans="1:8" ht="12.75">
      <c r="A1736" s="334" t="s">
        <v>947</v>
      </c>
      <c r="B1736" s="334" t="s">
        <v>1050</v>
      </c>
      <c r="C1736" s="252"/>
      <c r="D1736" s="166" t="s">
        <v>633</v>
      </c>
      <c r="E1736" s="244"/>
      <c r="G1736" s="349">
        <f t="shared" si="16"/>
        <v>0</v>
      </c>
      <c r="H1736" s="352">
        <v>0</v>
      </c>
    </row>
    <row r="1737" spans="1:8" ht="12.75">
      <c r="A1737" s="334" t="s">
        <v>947</v>
      </c>
      <c r="B1737" s="334" t="s">
        <v>1052</v>
      </c>
      <c r="C1737" s="252"/>
      <c r="D1737" s="166" t="s">
        <v>634</v>
      </c>
      <c r="E1737" s="244"/>
      <c r="G1737" s="349">
        <f t="shared" si="16"/>
        <v>0</v>
      </c>
      <c r="H1737" s="352">
        <v>0</v>
      </c>
    </row>
    <row r="1738" spans="1:8" ht="12.75">
      <c r="A1738" s="334" t="s">
        <v>22</v>
      </c>
      <c r="B1738" s="334" t="s">
        <v>2041</v>
      </c>
      <c r="C1738" s="252"/>
      <c r="D1738" s="166" t="s">
        <v>31</v>
      </c>
      <c r="E1738" s="244"/>
      <c r="G1738" s="349">
        <f aca="true" t="shared" si="17" ref="G1738:G1753">G511</f>
        <v>17089763.18</v>
      </c>
      <c r="H1738" s="352">
        <v>6734531</v>
      </c>
    </row>
    <row r="1739" spans="1:8" ht="12.75">
      <c r="A1739" s="334" t="s">
        <v>22</v>
      </c>
      <c r="B1739" s="334" t="s">
        <v>731</v>
      </c>
      <c r="C1739" s="166"/>
      <c r="D1739" s="166" t="s">
        <v>32</v>
      </c>
      <c r="E1739" s="244"/>
      <c r="G1739" s="349">
        <f t="shared" si="17"/>
        <v>786054</v>
      </c>
      <c r="H1739" s="352">
        <v>2500180</v>
      </c>
    </row>
    <row r="1740" spans="1:8" ht="12.75">
      <c r="A1740" s="334" t="s">
        <v>22</v>
      </c>
      <c r="B1740" s="334" t="s">
        <v>2023</v>
      </c>
      <c r="C1740" s="166"/>
      <c r="D1740" s="166" t="s">
        <v>33</v>
      </c>
      <c r="E1740" s="244"/>
      <c r="G1740" s="349">
        <f t="shared" si="17"/>
        <v>0</v>
      </c>
      <c r="H1740" s="352">
        <v>0</v>
      </c>
    </row>
    <row r="1741" spans="1:8" ht="12.75">
      <c r="A1741" s="334" t="s">
        <v>22</v>
      </c>
      <c r="B1741" s="334" t="s">
        <v>2044</v>
      </c>
      <c r="C1741" s="252"/>
      <c r="D1741" s="166" t="s">
        <v>34</v>
      </c>
      <c r="E1741" s="244"/>
      <c r="G1741" s="349">
        <f t="shared" si="17"/>
        <v>0</v>
      </c>
      <c r="H1741" s="352">
        <v>0</v>
      </c>
    </row>
    <row r="1742" spans="1:8" ht="12.75">
      <c r="A1742" s="334" t="s">
        <v>22</v>
      </c>
      <c r="B1742" s="334" t="s">
        <v>2018</v>
      </c>
      <c r="C1742" s="252"/>
      <c r="D1742" s="166" t="s">
        <v>35</v>
      </c>
      <c r="E1742" s="244"/>
      <c r="G1742" s="349">
        <f t="shared" si="17"/>
        <v>0</v>
      </c>
      <c r="H1742" s="352">
        <v>0</v>
      </c>
    </row>
    <row r="1743" spans="1:8" ht="12.75">
      <c r="A1743" s="334" t="s">
        <v>22</v>
      </c>
      <c r="B1743" s="334" t="s">
        <v>1696</v>
      </c>
      <c r="C1743" s="252"/>
      <c r="D1743" s="166" t="s">
        <v>36</v>
      </c>
      <c r="E1743" s="244"/>
      <c r="G1743" s="349">
        <f t="shared" si="17"/>
        <v>356000</v>
      </c>
      <c r="H1743" s="352">
        <v>140500</v>
      </c>
    </row>
    <row r="1744" spans="1:8" ht="12.75">
      <c r="A1744" s="334" t="s">
        <v>22</v>
      </c>
      <c r="B1744" s="334" t="s">
        <v>2032</v>
      </c>
      <c r="C1744" s="166"/>
      <c r="D1744" s="166" t="s">
        <v>37</v>
      </c>
      <c r="E1744" s="244"/>
      <c r="G1744" s="349">
        <f t="shared" si="17"/>
        <v>0</v>
      </c>
      <c r="H1744" s="352">
        <v>4500</v>
      </c>
    </row>
    <row r="1745" spans="1:8" ht="12.75">
      <c r="A1745" s="334" t="s">
        <v>22</v>
      </c>
      <c r="B1745" s="334" t="s">
        <v>1038</v>
      </c>
      <c r="C1745" s="252"/>
      <c r="D1745" s="166" t="s">
        <v>38</v>
      </c>
      <c r="E1745" s="244"/>
      <c r="G1745" s="349">
        <f t="shared" si="17"/>
        <v>0</v>
      </c>
      <c r="H1745" s="352">
        <v>0</v>
      </c>
    </row>
    <row r="1746" spans="1:8" ht="12.75">
      <c r="A1746" s="334" t="s">
        <v>22</v>
      </c>
      <c r="B1746" s="334" t="s">
        <v>1040</v>
      </c>
      <c r="C1746" s="166"/>
      <c r="D1746" s="166" t="s">
        <v>39</v>
      </c>
      <c r="E1746" s="244"/>
      <c r="G1746" s="349">
        <f t="shared" si="17"/>
        <v>0</v>
      </c>
      <c r="H1746" s="352">
        <v>0</v>
      </c>
    </row>
    <row r="1747" spans="1:8" ht="12.75">
      <c r="A1747" s="334" t="s">
        <v>22</v>
      </c>
      <c r="B1747" s="334" t="s">
        <v>1042</v>
      </c>
      <c r="C1747" s="166"/>
      <c r="D1747" s="166" t="s">
        <v>40</v>
      </c>
      <c r="E1747" s="244"/>
      <c r="G1747" s="349">
        <f t="shared" si="17"/>
        <v>0</v>
      </c>
      <c r="H1747" s="352">
        <v>0</v>
      </c>
    </row>
    <row r="1748" spans="1:8" ht="12.75">
      <c r="A1748" s="334" t="s">
        <v>22</v>
      </c>
      <c r="B1748" s="334" t="s">
        <v>1743</v>
      </c>
      <c r="C1748" s="252"/>
      <c r="D1748" s="166" t="s">
        <v>169</v>
      </c>
      <c r="E1748" s="244"/>
      <c r="G1748" s="349">
        <f t="shared" si="17"/>
        <v>0</v>
      </c>
      <c r="H1748" s="352">
        <v>0</v>
      </c>
    </row>
    <row r="1749" spans="1:8" ht="12.75">
      <c r="A1749" s="334" t="s">
        <v>22</v>
      </c>
      <c r="B1749" s="334" t="s">
        <v>1045</v>
      </c>
      <c r="C1749" s="252"/>
      <c r="D1749" s="166" t="s">
        <v>170</v>
      </c>
      <c r="E1749" s="244"/>
      <c r="G1749" s="349">
        <f t="shared" si="17"/>
        <v>677121</v>
      </c>
      <c r="H1749" s="352">
        <v>2708484</v>
      </c>
    </row>
    <row r="1750" spans="1:8" ht="12.75">
      <c r="A1750" s="334" t="s">
        <v>22</v>
      </c>
      <c r="B1750" s="334" t="s">
        <v>2034</v>
      </c>
      <c r="C1750" s="252"/>
      <c r="D1750" s="166" t="s">
        <v>171</v>
      </c>
      <c r="E1750" s="244"/>
      <c r="G1750" s="349">
        <f t="shared" si="17"/>
        <v>530155.33</v>
      </c>
      <c r="H1750" s="352">
        <v>1750126</v>
      </c>
    </row>
    <row r="1751" spans="1:8" ht="12.75">
      <c r="A1751" s="334" t="s">
        <v>22</v>
      </c>
      <c r="B1751" s="334" t="s">
        <v>1048</v>
      </c>
      <c r="C1751" s="252"/>
      <c r="D1751" s="166" t="s">
        <v>172</v>
      </c>
      <c r="E1751" s="244"/>
      <c r="G1751" s="349">
        <f t="shared" si="17"/>
        <v>1424150</v>
      </c>
      <c r="H1751" s="352">
        <v>1000072</v>
      </c>
    </row>
    <row r="1752" spans="1:8" ht="12.75">
      <c r="A1752" s="334" t="s">
        <v>22</v>
      </c>
      <c r="B1752" s="334" t="s">
        <v>1050</v>
      </c>
      <c r="C1752" s="252"/>
      <c r="D1752" s="166" t="s">
        <v>173</v>
      </c>
      <c r="E1752" s="244"/>
      <c r="G1752" s="349">
        <f t="shared" si="17"/>
        <v>0</v>
      </c>
      <c r="H1752" s="352">
        <v>0</v>
      </c>
    </row>
    <row r="1753" spans="1:8" ht="12.75">
      <c r="A1753" s="334" t="s">
        <v>22</v>
      </c>
      <c r="B1753" s="334" t="s">
        <v>1052</v>
      </c>
      <c r="C1753" s="252"/>
      <c r="D1753" s="166" t="s">
        <v>174</v>
      </c>
      <c r="E1753" s="244"/>
      <c r="G1753" s="349">
        <f t="shared" si="17"/>
        <v>0</v>
      </c>
      <c r="H1753" s="352">
        <v>0</v>
      </c>
    </row>
    <row r="1754" spans="1:8" ht="12.75">
      <c r="A1754" s="341"/>
      <c r="B1754" s="341"/>
      <c r="C1754" s="360"/>
      <c r="D1754" s="359" t="s">
        <v>943</v>
      </c>
      <c r="E1754" s="236"/>
      <c r="F1754" s="236"/>
      <c r="G1754" s="358">
        <f>SUM(G1700:G1753)</f>
        <v>912669195.1599998</v>
      </c>
      <c r="H1754" s="358">
        <f>SUM(H1700:H1753)</f>
        <v>561576931.29</v>
      </c>
    </row>
    <row r="1755" spans="2:8" ht="12.75">
      <c r="B1755" s="166"/>
      <c r="C1755" s="245"/>
      <c r="D1755" s="244"/>
      <c r="E1755" s="244"/>
      <c r="G1755" s="352"/>
      <c r="H1755" s="352"/>
    </row>
    <row r="1756" spans="2:8" ht="12.75">
      <c r="B1756" s="341"/>
      <c r="C1756" s="221">
        <v>305350</v>
      </c>
      <c r="D1756" s="222" t="s">
        <v>548</v>
      </c>
      <c r="E1756" s="244"/>
      <c r="G1756" s="352"/>
      <c r="H1756" s="352"/>
    </row>
    <row r="1757" spans="1:8" ht="12.75">
      <c r="A1757" s="334" t="s">
        <v>1554</v>
      </c>
      <c r="B1757" s="334" t="s">
        <v>2041</v>
      </c>
      <c r="C1757" s="252"/>
      <c r="D1757" s="166" t="s">
        <v>1560</v>
      </c>
      <c r="E1757" s="244"/>
      <c r="G1757" s="352">
        <f aca="true" t="shared" si="18" ref="G1757:G1763">G587</f>
        <v>79820526.57</v>
      </c>
      <c r="H1757" s="352">
        <v>99749131.59</v>
      </c>
    </row>
    <row r="1758" spans="1:8" ht="12.75">
      <c r="A1758" s="334" t="s">
        <v>1554</v>
      </c>
      <c r="B1758" s="334" t="s">
        <v>1040</v>
      </c>
      <c r="C1758" s="252"/>
      <c r="D1758" s="166" t="s">
        <v>1561</v>
      </c>
      <c r="E1758" s="222"/>
      <c r="G1758" s="352">
        <f t="shared" si="18"/>
        <v>103915777.47999999</v>
      </c>
      <c r="H1758" s="352">
        <v>67567186</v>
      </c>
    </row>
    <row r="1759" spans="1:8" ht="12.75">
      <c r="A1759" s="334" t="s">
        <v>1554</v>
      </c>
      <c r="B1759" s="334" t="s">
        <v>1042</v>
      </c>
      <c r="C1759" s="252"/>
      <c r="D1759" s="166" t="s">
        <v>1631</v>
      </c>
      <c r="E1759" s="244"/>
      <c r="G1759" s="352">
        <f t="shared" si="18"/>
        <v>0</v>
      </c>
      <c r="H1759" s="352">
        <v>73046663.17999999</v>
      </c>
    </row>
    <row r="1760" spans="1:8" ht="12.75">
      <c r="A1760" s="334" t="s">
        <v>1554</v>
      </c>
      <c r="B1760" s="334" t="s">
        <v>1743</v>
      </c>
      <c r="C1760" s="252"/>
      <c r="D1760" s="166" t="s">
        <v>1632</v>
      </c>
      <c r="E1760" s="244"/>
      <c r="G1760" s="352">
        <f t="shared" si="18"/>
        <v>7696415.46</v>
      </c>
      <c r="H1760" s="352">
        <v>8663030.26</v>
      </c>
    </row>
    <row r="1761" spans="1:8" ht="12.75">
      <c r="A1761" s="334" t="s">
        <v>1554</v>
      </c>
      <c r="B1761" s="334" t="s">
        <v>1045</v>
      </c>
      <c r="C1761" s="252"/>
      <c r="D1761" s="166" t="s">
        <v>1633</v>
      </c>
      <c r="E1761" s="244"/>
      <c r="G1761" s="352">
        <f t="shared" si="18"/>
        <v>18772338.21</v>
      </c>
      <c r="H1761" s="352">
        <v>24143804.85</v>
      </c>
    </row>
    <row r="1762" spans="1:8" ht="12.75">
      <c r="A1762" s="334" t="s">
        <v>1554</v>
      </c>
      <c r="B1762" s="334" t="s">
        <v>2034</v>
      </c>
      <c r="C1762" s="252"/>
      <c r="D1762" s="166" t="s">
        <v>1634</v>
      </c>
      <c r="E1762" s="244"/>
      <c r="G1762" s="352">
        <f t="shared" si="18"/>
        <v>110446285.97</v>
      </c>
      <c r="H1762" s="352">
        <v>111753136.72</v>
      </c>
    </row>
    <row r="1763" spans="1:8" ht="12.75">
      <c r="A1763" s="334" t="s">
        <v>1554</v>
      </c>
      <c r="B1763" s="334" t="s">
        <v>1052</v>
      </c>
      <c r="C1763" s="252"/>
      <c r="D1763" s="166" t="s">
        <v>1635</v>
      </c>
      <c r="E1763" s="244"/>
      <c r="G1763" s="352">
        <f t="shared" si="18"/>
        <v>0</v>
      </c>
      <c r="H1763" s="352">
        <v>535000</v>
      </c>
    </row>
    <row r="1764" spans="1:8" ht="12.75">
      <c r="A1764" s="334" t="s">
        <v>1316</v>
      </c>
      <c r="B1764" s="334" t="s">
        <v>1042</v>
      </c>
      <c r="C1764" s="252"/>
      <c r="D1764" s="166" t="s">
        <v>1317</v>
      </c>
      <c r="E1764" s="244"/>
      <c r="G1764" s="352">
        <f aca="true" t="shared" si="19" ref="G1764:G1774">G599</f>
        <v>209611291.8</v>
      </c>
      <c r="H1764" s="352">
        <v>32605341</v>
      </c>
    </row>
    <row r="1765" spans="1:8" ht="12.75">
      <c r="A1765" s="334" t="s">
        <v>1318</v>
      </c>
      <c r="B1765" s="334" t="s">
        <v>2023</v>
      </c>
      <c r="C1765" s="252"/>
      <c r="D1765" s="166" t="s">
        <v>1319</v>
      </c>
      <c r="E1765" s="244"/>
      <c r="G1765" s="352">
        <f t="shared" si="19"/>
        <v>115327170.69</v>
      </c>
      <c r="H1765" s="352">
        <v>161670760.22999993</v>
      </c>
    </row>
    <row r="1766" spans="1:8" ht="12.75">
      <c r="A1766" s="334" t="s">
        <v>1318</v>
      </c>
      <c r="B1766" s="334" t="s">
        <v>2044</v>
      </c>
      <c r="C1766" s="252"/>
      <c r="D1766" s="166" t="s">
        <v>1320</v>
      </c>
      <c r="E1766" s="244"/>
      <c r="G1766" s="352">
        <f t="shared" si="19"/>
        <v>279386527.66</v>
      </c>
      <c r="H1766" s="352">
        <v>262756513.1</v>
      </c>
    </row>
    <row r="1767" spans="1:8" ht="12.75">
      <c r="A1767" s="334" t="s">
        <v>1318</v>
      </c>
      <c r="B1767" s="334" t="s">
        <v>2018</v>
      </c>
      <c r="C1767" s="252"/>
      <c r="D1767" s="166" t="s">
        <v>1321</v>
      </c>
      <c r="E1767" s="244"/>
      <c r="G1767" s="352">
        <f t="shared" si="19"/>
        <v>718663610.56</v>
      </c>
      <c r="H1767" s="352">
        <v>590687175.22</v>
      </c>
    </row>
    <row r="1768" spans="1:8" ht="12.75">
      <c r="A1768" s="334" t="s">
        <v>1318</v>
      </c>
      <c r="B1768" s="334" t="s">
        <v>1696</v>
      </c>
      <c r="C1768" s="252"/>
      <c r="D1768" s="166" t="s">
        <v>1322</v>
      </c>
      <c r="E1768" s="244"/>
      <c r="G1768" s="352">
        <f t="shared" si="19"/>
        <v>1941402081.2599998</v>
      </c>
      <c r="H1768" s="352">
        <v>1112587895.8199997</v>
      </c>
    </row>
    <row r="1769" spans="1:8" ht="12.75">
      <c r="A1769" s="334" t="s">
        <v>1318</v>
      </c>
      <c r="B1769" s="334" t="s">
        <v>2032</v>
      </c>
      <c r="C1769" s="252"/>
      <c r="D1769" s="166" t="s">
        <v>1323</v>
      </c>
      <c r="E1769" s="244"/>
      <c r="G1769" s="352">
        <f t="shared" si="19"/>
        <v>272660054.06</v>
      </c>
      <c r="H1769" s="352">
        <v>147923945.51</v>
      </c>
    </row>
    <row r="1770" spans="1:8" ht="12.75">
      <c r="A1770" s="334" t="s">
        <v>1589</v>
      </c>
      <c r="B1770" s="334" t="s">
        <v>2023</v>
      </c>
      <c r="C1770" s="252"/>
      <c r="D1770" s="166" t="s">
        <v>1590</v>
      </c>
      <c r="E1770" s="244"/>
      <c r="G1770" s="352">
        <f t="shared" si="19"/>
        <v>35016212.1</v>
      </c>
      <c r="H1770" s="352">
        <v>20490086.22</v>
      </c>
    </row>
    <row r="1771" spans="1:8" ht="12.75">
      <c r="A1771" s="334" t="s">
        <v>1589</v>
      </c>
      <c r="B1771" s="334" t="s">
        <v>2044</v>
      </c>
      <c r="C1771" s="252"/>
      <c r="D1771" s="166" t="s">
        <v>1591</v>
      </c>
      <c r="E1771" s="244"/>
      <c r="G1771" s="352">
        <f t="shared" si="19"/>
        <v>45008589.77</v>
      </c>
      <c r="H1771" s="352">
        <v>68140977.37</v>
      </c>
    </row>
    <row r="1772" spans="1:8" ht="12.75">
      <c r="A1772" s="334" t="s">
        <v>1589</v>
      </c>
      <c r="B1772" s="334" t="s">
        <v>2018</v>
      </c>
      <c r="C1772" s="252"/>
      <c r="D1772" s="166" t="s">
        <v>1592</v>
      </c>
      <c r="E1772" s="244"/>
      <c r="G1772" s="352">
        <f t="shared" si="19"/>
        <v>143259846.51</v>
      </c>
      <c r="H1772" s="352">
        <v>137047919.49999997</v>
      </c>
    </row>
    <row r="1773" spans="1:8" ht="12.75">
      <c r="A1773" s="334" t="s">
        <v>1589</v>
      </c>
      <c r="B1773" s="334" t="s">
        <v>1696</v>
      </c>
      <c r="C1773" s="252"/>
      <c r="D1773" s="166" t="s">
        <v>1593</v>
      </c>
      <c r="E1773" s="244"/>
      <c r="G1773" s="352">
        <f t="shared" si="19"/>
        <v>451329660.33000004</v>
      </c>
      <c r="H1773" s="352">
        <v>299915131.7800001</v>
      </c>
    </row>
    <row r="1774" spans="1:8" ht="12.75">
      <c r="A1774" s="334" t="s">
        <v>1589</v>
      </c>
      <c r="B1774" s="334" t="s">
        <v>2032</v>
      </c>
      <c r="C1774" s="252"/>
      <c r="D1774" s="166" t="s">
        <v>1594</v>
      </c>
      <c r="E1774" s="244"/>
      <c r="G1774" s="352">
        <f t="shared" si="19"/>
        <v>86480996.66</v>
      </c>
      <c r="H1774" s="352">
        <v>16309858.34</v>
      </c>
    </row>
    <row r="1775" spans="1:8" ht="12.75">
      <c r="A1775" s="334" t="s">
        <v>893</v>
      </c>
      <c r="B1775" s="334" t="s">
        <v>1696</v>
      </c>
      <c r="C1775" s="252"/>
      <c r="D1775" s="166" t="s">
        <v>549</v>
      </c>
      <c r="E1775" s="244"/>
      <c r="G1775" s="352">
        <f>G613</f>
        <v>0</v>
      </c>
      <c r="H1775" s="352">
        <v>0</v>
      </c>
    </row>
    <row r="1776" spans="1:8" ht="12.75">
      <c r="A1776" s="334" t="s">
        <v>893</v>
      </c>
      <c r="B1776" s="334" t="s">
        <v>1042</v>
      </c>
      <c r="C1776" s="166"/>
      <c r="D1776" s="166" t="s">
        <v>896</v>
      </c>
      <c r="E1776" s="244"/>
      <c r="G1776" s="352">
        <f>G614</f>
        <v>115027281.68</v>
      </c>
      <c r="H1776" s="352">
        <v>201692144.41</v>
      </c>
    </row>
    <row r="1777" spans="2:8" ht="12.75">
      <c r="B1777" s="166"/>
      <c r="C1777" s="245"/>
      <c r="D1777" s="244"/>
      <c r="E1777" s="244"/>
      <c r="G1777" s="352"/>
      <c r="H1777" s="352"/>
    </row>
    <row r="1778" spans="2:8" ht="12.75">
      <c r="B1778" s="166"/>
      <c r="C1778" s="224"/>
      <c r="D1778" s="236" t="s">
        <v>943</v>
      </c>
      <c r="E1778" s="225"/>
      <c r="F1778" s="225"/>
      <c r="G1778" s="358">
        <f>SUM(G1757:G1777)</f>
        <v>4733824666.7699995</v>
      </c>
      <c r="H1778" s="358">
        <f>SUM(H1757:H1777)</f>
        <v>3437285701.0999994</v>
      </c>
    </row>
    <row r="1779" spans="2:8" ht="12.75">
      <c r="B1779" s="166"/>
      <c r="C1779" s="245"/>
      <c r="D1779" s="244"/>
      <c r="E1779" s="244"/>
      <c r="G1779" s="352"/>
      <c r="H1779" s="352"/>
    </row>
    <row r="1780" spans="2:8" ht="12.75">
      <c r="B1780" s="166"/>
      <c r="C1780" s="245"/>
      <c r="D1780" s="244"/>
      <c r="E1780" s="244"/>
      <c r="G1780" s="352"/>
      <c r="H1780" s="352"/>
    </row>
    <row r="1781" spans="2:8" ht="12.75">
      <c r="B1781" s="166"/>
      <c r="C1781" s="245"/>
      <c r="D1781" s="225" t="s">
        <v>1908</v>
      </c>
      <c r="E1781" s="244"/>
      <c r="G1781" s="352"/>
      <c r="H1781" s="352"/>
    </row>
    <row r="1782" spans="2:8" ht="12.75">
      <c r="B1782" s="341"/>
      <c r="C1782" s="221">
        <v>306450</v>
      </c>
      <c r="D1782" s="222" t="s">
        <v>550</v>
      </c>
      <c r="E1782" s="244"/>
      <c r="G1782" s="352"/>
      <c r="H1782" s="352"/>
    </row>
    <row r="1783" spans="1:8" ht="12.75">
      <c r="A1783" s="334" t="s">
        <v>1158</v>
      </c>
      <c r="B1783" s="334" t="s">
        <v>1057</v>
      </c>
      <c r="C1783" s="252"/>
      <c r="D1783" s="166" t="s">
        <v>1058</v>
      </c>
      <c r="E1783" s="244"/>
      <c r="G1783" s="352">
        <f>G215</f>
        <v>24689973.7</v>
      </c>
      <c r="H1783" s="352">
        <v>8331958.550000001</v>
      </c>
    </row>
    <row r="1784" spans="1:8" ht="12.75">
      <c r="A1784" s="334" t="s">
        <v>1158</v>
      </c>
      <c r="B1784" s="334" t="s">
        <v>1059</v>
      </c>
      <c r="C1784" s="252"/>
      <c r="D1784" s="166" t="s">
        <v>1060</v>
      </c>
      <c r="E1784" s="244"/>
      <c r="G1784" s="352">
        <f>G216</f>
        <v>38702498.85</v>
      </c>
      <c r="H1784" s="352">
        <v>24874073.75</v>
      </c>
    </row>
    <row r="1785" spans="1:8" ht="12.75">
      <c r="A1785" s="334" t="s">
        <v>1158</v>
      </c>
      <c r="B1785" s="334" t="s">
        <v>1062</v>
      </c>
      <c r="C1785" s="252"/>
      <c r="D1785" s="166" t="s">
        <v>1063</v>
      </c>
      <c r="E1785" s="244"/>
      <c r="G1785" s="352">
        <f>G218</f>
        <v>13827091.4</v>
      </c>
      <c r="H1785" s="352">
        <v>6820739.899999999</v>
      </c>
    </row>
    <row r="1786" spans="1:8" ht="12.75">
      <c r="A1786" s="334" t="s">
        <v>780</v>
      </c>
      <c r="B1786" s="334" t="s">
        <v>1057</v>
      </c>
      <c r="C1786" s="252"/>
      <c r="D1786" s="166" t="s">
        <v>202</v>
      </c>
      <c r="E1786" s="244"/>
      <c r="G1786" s="352">
        <f>G246</f>
        <v>0</v>
      </c>
      <c r="H1786" s="352">
        <v>0</v>
      </c>
    </row>
    <row r="1787" spans="1:8" ht="12.75">
      <c r="A1787" s="334" t="s">
        <v>780</v>
      </c>
      <c r="B1787" s="334" t="s">
        <v>1059</v>
      </c>
      <c r="C1787" s="166"/>
      <c r="D1787" s="166" t="s">
        <v>203</v>
      </c>
      <c r="E1787" s="244"/>
      <c r="G1787" s="352">
        <f>G247</f>
        <v>21081777.7</v>
      </c>
      <c r="H1787" s="352">
        <v>15903049.200000003</v>
      </c>
    </row>
    <row r="1788" spans="1:8" ht="12.75">
      <c r="A1788" s="334" t="s">
        <v>780</v>
      </c>
      <c r="B1788" s="334" t="s">
        <v>1062</v>
      </c>
      <c r="C1788" s="252"/>
      <c r="D1788" s="166" t="s">
        <v>205</v>
      </c>
      <c r="E1788" s="244"/>
      <c r="G1788" s="352">
        <f>G249</f>
        <v>0</v>
      </c>
      <c r="H1788" s="352">
        <v>0</v>
      </c>
    </row>
    <row r="1789" spans="1:8" ht="12.75">
      <c r="A1789" s="334" t="s">
        <v>209</v>
      </c>
      <c r="B1789" s="334" t="s">
        <v>1057</v>
      </c>
      <c r="C1789" s="252"/>
      <c r="D1789" s="166" t="s">
        <v>1345</v>
      </c>
      <c r="E1789" s="244"/>
      <c r="G1789" s="352">
        <f>G277</f>
        <v>5952952.32</v>
      </c>
      <c r="H1789" s="352">
        <v>2387917.2</v>
      </c>
    </row>
    <row r="1790" spans="1:8" ht="12.75">
      <c r="A1790" s="334" t="s">
        <v>209</v>
      </c>
      <c r="B1790" s="334" t="s">
        <v>1059</v>
      </c>
      <c r="C1790" s="166"/>
      <c r="D1790" s="166" t="s">
        <v>1346</v>
      </c>
      <c r="E1790" s="244"/>
      <c r="G1790" s="352">
        <f>G278</f>
        <v>9829691.32</v>
      </c>
      <c r="H1790" s="352">
        <v>4679708.85</v>
      </c>
    </row>
    <row r="1791" spans="1:8" ht="12.75">
      <c r="A1791" s="334" t="s">
        <v>209</v>
      </c>
      <c r="B1791" s="334" t="s">
        <v>1062</v>
      </c>
      <c r="C1791" s="252"/>
      <c r="D1791" s="166" t="s">
        <v>1348</v>
      </c>
      <c r="E1791" s="244"/>
      <c r="G1791" s="352">
        <f>G280</f>
        <v>3405128.46</v>
      </c>
      <c r="H1791" s="352">
        <v>1023109.2</v>
      </c>
    </row>
    <row r="1792" spans="1:8" ht="12.75">
      <c r="A1792" s="334" t="s">
        <v>1354</v>
      </c>
      <c r="B1792" s="334" t="s">
        <v>1057</v>
      </c>
      <c r="C1792" s="252"/>
      <c r="D1792" s="166" t="s">
        <v>901</v>
      </c>
      <c r="E1792" s="244"/>
      <c r="G1792" s="352">
        <f>G309</f>
        <v>930146</v>
      </c>
      <c r="H1792" s="352">
        <v>3332771.2</v>
      </c>
    </row>
    <row r="1793" spans="1:8" ht="12.75">
      <c r="A1793" s="334" t="s">
        <v>1354</v>
      </c>
      <c r="B1793" s="334" t="s">
        <v>1059</v>
      </c>
      <c r="C1793" s="166"/>
      <c r="D1793" s="166" t="s">
        <v>902</v>
      </c>
      <c r="E1793" s="244"/>
      <c r="G1793" s="352">
        <f>G310</f>
        <v>0</v>
      </c>
      <c r="H1793" s="352">
        <v>0</v>
      </c>
    </row>
    <row r="1794" spans="1:8" ht="12.75">
      <c r="A1794" s="334" t="s">
        <v>1354</v>
      </c>
      <c r="B1794" s="334" t="s">
        <v>1062</v>
      </c>
      <c r="C1794" s="252"/>
      <c r="D1794" s="166" t="s">
        <v>904</v>
      </c>
      <c r="E1794" s="244"/>
      <c r="G1794" s="352">
        <f>G312</f>
        <v>729818.4</v>
      </c>
      <c r="H1794" s="352">
        <v>2728291.2</v>
      </c>
    </row>
    <row r="1795" spans="1:8" ht="12.75">
      <c r="A1795" s="334" t="s">
        <v>910</v>
      </c>
      <c r="B1795" s="334" t="s">
        <v>1057</v>
      </c>
      <c r="C1795" s="252"/>
      <c r="D1795" s="166" t="s">
        <v>983</v>
      </c>
      <c r="E1795" s="244"/>
      <c r="G1795" s="352">
        <f>G341</f>
        <v>1767225</v>
      </c>
      <c r="H1795" s="352">
        <v>1697508.75</v>
      </c>
    </row>
    <row r="1796" spans="1:8" ht="12.75">
      <c r="A1796" s="334" t="s">
        <v>910</v>
      </c>
      <c r="B1796" s="334" t="s">
        <v>1059</v>
      </c>
      <c r="C1796" s="166"/>
      <c r="D1796" s="166" t="s">
        <v>984</v>
      </c>
      <c r="E1796" s="244"/>
      <c r="G1796" s="352">
        <f>G342</f>
        <v>3862649</v>
      </c>
      <c r="H1796" s="352">
        <v>2807846</v>
      </c>
    </row>
    <row r="1797" spans="1:8" ht="12.75">
      <c r="A1797" s="334" t="s">
        <v>910</v>
      </c>
      <c r="B1797" s="334" t="s">
        <v>1062</v>
      </c>
      <c r="C1797" s="252"/>
      <c r="D1797" s="166" t="s">
        <v>986</v>
      </c>
      <c r="E1797" s="244"/>
      <c r="G1797" s="352">
        <f>G344</f>
        <v>1011299</v>
      </c>
      <c r="H1797" s="352">
        <v>932963.25</v>
      </c>
    </row>
    <row r="1798" spans="1:8" ht="12.75">
      <c r="A1798" s="334" t="s">
        <v>144</v>
      </c>
      <c r="B1798" s="334" t="s">
        <v>1057</v>
      </c>
      <c r="C1798" s="252"/>
      <c r="D1798" s="166" t="s">
        <v>828</v>
      </c>
      <c r="E1798" s="244"/>
      <c r="G1798" s="352">
        <f>G403</f>
        <v>3193844</v>
      </c>
      <c r="H1798" s="352">
        <v>4322500</v>
      </c>
    </row>
    <row r="1799" spans="1:8" ht="12.75">
      <c r="A1799" s="334" t="s">
        <v>144</v>
      </c>
      <c r="B1799" s="334" t="s">
        <v>1059</v>
      </c>
      <c r="C1799" s="252"/>
      <c r="D1799" s="166" t="s">
        <v>829</v>
      </c>
      <c r="E1799" s="244"/>
      <c r="G1799" s="352">
        <f>G404</f>
        <v>5434934.88</v>
      </c>
      <c r="H1799" s="352">
        <v>2666754.27</v>
      </c>
    </row>
    <row r="1800" spans="1:8" ht="12.75">
      <c r="A1800" s="334" t="s">
        <v>144</v>
      </c>
      <c r="B1800" s="334" t="s">
        <v>1062</v>
      </c>
      <c r="C1800" s="252"/>
      <c r="D1800" s="166" t="s">
        <v>831</v>
      </c>
      <c r="E1800" s="244"/>
      <c r="G1800" s="352">
        <f>G406</f>
        <v>2104728</v>
      </c>
      <c r="H1800" s="352">
        <v>1200000</v>
      </c>
    </row>
    <row r="1801" spans="1:8" ht="12.75">
      <c r="A1801" s="334" t="s">
        <v>990</v>
      </c>
      <c r="B1801" s="334" t="s">
        <v>1057</v>
      </c>
      <c r="C1801" s="166"/>
      <c r="D1801" s="166" t="s">
        <v>1390</v>
      </c>
      <c r="E1801" s="244"/>
      <c r="G1801" s="352">
        <f>G367</f>
        <v>1386219.66</v>
      </c>
      <c r="H1801" s="352">
        <v>850868.73</v>
      </c>
    </row>
    <row r="1802" spans="1:8" ht="12.75">
      <c r="A1802" s="334" t="s">
        <v>990</v>
      </c>
      <c r="B1802" s="334" t="s">
        <v>1059</v>
      </c>
      <c r="C1802" s="166"/>
      <c r="D1802" s="166" t="s">
        <v>1391</v>
      </c>
      <c r="E1802" s="244"/>
      <c r="G1802" s="352">
        <f>G368</f>
        <v>3818840.77</v>
      </c>
      <c r="H1802" s="352">
        <v>2552606.11</v>
      </c>
    </row>
    <row r="1803" spans="1:8" ht="12.75">
      <c r="A1803" s="334"/>
      <c r="B1803" s="334"/>
      <c r="C1803" s="166"/>
      <c r="D1803" s="166"/>
      <c r="E1803" s="244"/>
      <c r="G1803" s="352"/>
      <c r="H1803" s="352"/>
    </row>
    <row r="1804" spans="2:8" ht="12.75">
      <c r="B1804" s="166"/>
      <c r="C1804" s="245"/>
      <c r="D1804" s="244"/>
      <c r="E1804" s="244"/>
      <c r="G1804" s="352"/>
      <c r="H1804" s="352"/>
    </row>
    <row r="1805" spans="2:8" ht="12.75">
      <c r="B1805" s="166"/>
      <c r="C1805" s="224"/>
      <c r="D1805" s="236" t="s">
        <v>943</v>
      </c>
      <c r="E1805" s="236"/>
      <c r="F1805" s="225"/>
      <c r="G1805" s="358">
        <f>SUM(G1783:G1804)</f>
        <v>141728818.46</v>
      </c>
      <c r="H1805" s="358">
        <f>SUM(H1783:H1804)</f>
        <v>87112666.16000001</v>
      </c>
    </row>
    <row r="1806" spans="2:8" ht="12.75">
      <c r="B1806" s="166"/>
      <c r="C1806" s="224"/>
      <c r="D1806" s="225"/>
      <c r="E1806" s="225"/>
      <c r="F1806" s="225"/>
      <c r="G1806" s="357"/>
      <c r="H1806" s="352"/>
    </row>
    <row r="1807" spans="2:8" ht="12.75">
      <c r="B1807" s="341"/>
      <c r="C1807" s="221">
        <v>306530</v>
      </c>
      <c r="D1807" s="222" t="s">
        <v>1505</v>
      </c>
      <c r="E1807" s="244"/>
      <c r="G1807" s="352"/>
      <c r="H1807" s="352"/>
    </row>
    <row r="1808" spans="2:8" ht="12.75">
      <c r="B1808" s="341"/>
      <c r="C1808" s="221"/>
      <c r="D1808" s="244"/>
      <c r="E1808" s="244"/>
      <c r="G1808" s="352"/>
      <c r="H1808" s="352"/>
    </row>
    <row r="1809" spans="2:8" ht="12.75">
      <c r="B1809" s="341"/>
      <c r="C1809" s="221"/>
      <c r="D1809" s="244"/>
      <c r="E1809" s="244"/>
      <c r="G1809" s="352"/>
      <c r="H1809" s="352"/>
    </row>
    <row r="1810" spans="2:8" ht="12.75">
      <c r="B1810" s="166"/>
      <c r="C1810" s="245"/>
      <c r="D1810" s="244"/>
      <c r="E1810" s="244"/>
      <c r="G1810" s="352"/>
      <c r="H1810" s="352"/>
    </row>
    <row r="1811" spans="2:8" ht="12.75">
      <c r="B1811" s="166"/>
      <c r="C1811" s="345"/>
      <c r="D1811" s="236" t="s">
        <v>943</v>
      </c>
      <c r="E1811" s="236"/>
      <c r="F1811" s="236"/>
      <c r="G1811" s="358"/>
      <c r="H1811" s="358"/>
    </row>
    <row r="1812" spans="2:8" ht="12.75">
      <c r="B1812" s="166"/>
      <c r="C1812" s="245"/>
      <c r="D1812" s="244"/>
      <c r="E1812" s="244"/>
      <c r="G1812" s="352"/>
      <c r="H1812" s="352"/>
    </row>
    <row r="1813" spans="2:8" ht="12.75">
      <c r="B1813" s="341"/>
      <c r="C1813" s="221">
        <v>306580</v>
      </c>
      <c r="D1813" s="222" t="s">
        <v>551</v>
      </c>
      <c r="E1813" s="244"/>
      <c r="G1813" s="352"/>
      <c r="H1813" s="352"/>
    </row>
    <row r="1814" spans="1:8" ht="12.75">
      <c r="A1814" s="334" t="s">
        <v>474</v>
      </c>
      <c r="B1814" s="334" t="s">
        <v>1062</v>
      </c>
      <c r="C1814" s="252"/>
      <c r="D1814" s="166" t="s">
        <v>475</v>
      </c>
      <c r="E1814" s="244"/>
      <c r="G1814" s="352">
        <f>G535</f>
        <v>340627</v>
      </c>
      <c r="H1814" s="352">
        <v>1634400</v>
      </c>
    </row>
    <row r="1815" spans="1:8" ht="12.75">
      <c r="A1815" s="334" t="s">
        <v>476</v>
      </c>
      <c r="B1815" s="334" t="s">
        <v>1057</v>
      </c>
      <c r="C1815" s="252"/>
      <c r="D1815" s="166" t="s">
        <v>481</v>
      </c>
      <c r="E1815" s="244"/>
      <c r="G1815" s="352">
        <f>G538</f>
        <v>20402423</v>
      </c>
      <c r="H1815" s="352">
        <v>26429476</v>
      </c>
    </row>
    <row r="1816" spans="1:8" ht="12.75">
      <c r="A1816" s="334" t="s">
        <v>480</v>
      </c>
      <c r="B1816" s="334" t="s">
        <v>1057</v>
      </c>
      <c r="C1816" s="166"/>
      <c r="D1816" s="166" t="s">
        <v>483</v>
      </c>
      <c r="E1816" s="244"/>
      <c r="G1816" s="352">
        <f>G539</f>
        <v>625976348</v>
      </c>
      <c r="H1816" s="352">
        <v>499090606</v>
      </c>
    </row>
    <row r="1817" spans="1:8" ht="12.75">
      <c r="A1817" s="334" t="s">
        <v>708</v>
      </c>
      <c r="B1817" s="334" t="s">
        <v>1057</v>
      </c>
      <c r="C1817" s="252"/>
      <c r="D1817" s="166" t="s">
        <v>711</v>
      </c>
      <c r="E1817" s="244"/>
      <c r="G1817" s="352">
        <f>G550</f>
        <v>0</v>
      </c>
      <c r="H1817" s="352">
        <v>36000</v>
      </c>
    </row>
    <row r="1818" spans="1:3" ht="12.75">
      <c r="A1818" s="334"/>
      <c r="B1818" s="334"/>
      <c r="C1818" s="252"/>
    </row>
    <row r="1819" spans="3:8" ht="12.75">
      <c r="C1819" s="236"/>
      <c r="D1819" s="236" t="s">
        <v>943</v>
      </c>
      <c r="E1819" s="236"/>
      <c r="F1819" s="236"/>
      <c r="G1819" s="358">
        <f>SUM(G1814:G1817)</f>
        <v>646719398</v>
      </c>
      <c r="H1819" s="358">
        <f>SUM(H1814:H1817)</f>
        <v>527190482</v>
      </c>
    </row>
    <row r="1820" spans="5:8" ht="12.75">
      <c r="E1820" s="244"/>
      <c r="G1820" s="352"/>
      <c r="H1820" s="352"/>
    </row>
    <row r="1821" spans="2:8" ht="12.75">
      <c r="B1821" s="166"/>
      <c r="C1821" s="245"/>
      <c r="D1821" s="222"/>
      <c r="E1821" s="222"/>
      <c r="G1821" s="353"/>
      <c r="H1821" s="352"/>
    </row>
    <row r="1822" spans="2:8" ht="12.75">
      <c r="B1822" s="341"/>
      <c r="C1822" s="221">
        <v>306710</v>
      </c>
      <c r="D1822" s="222" t="s">
        <v>552</v>
      </c>
      <c r="E1822" s="222"/>
      <c r="G1822" s="353"/>
      <c r="H1822" s="352"/>
    </row>
    <row r="1823" spans="1:8" ht="12.75">
      <c r="A1823" s="334" t="s">
        <v>1238</v>
      </c>
      <c r="B1823" s="334" t="s">
        <v>1057</v>
      </c>
      <c r="C1823" s="252"/>
      <c r="D1823" s="166" t="s">
        <v>1239</v>
      </c>
      <c r="E1823" s="222"/>
      <c r="G1823" s="349">
        <f>G568</f>
        <v>48555237.42</v>
      </c>
      <c r="H1823" s="352">
        <v>238775127</v>
      </c>
    </row>
    <row r="1824" spans="1:8" ht="12.75">
      <c r="A1824" s="334" t="s">
        <v>1240</v>
      </c>
      <c r="B1824" s="334" t="s">
        <v>1241</v>
      </c>
      <c r="C1824" s="166"/>
      <c r="D1824" s="166" t="s">
        <v>1242</v>
      </c>
      <c r="E1824" s="222"/>
      <c r="G1824" s="349">
        <f>G570</f>
        <v>1712485</v>
      </c>
      <c r="H1824" s="352">
        <v>0</v>
      </c>
    </row>
    <row r="1825" spans="2:8" ht="12.75">
      <c r="B1825" s="166"/>
      <c r="C1825" s="345"/>
      <c r="D1825" s="236" t="s">
        <v>943</v>
      </c>
      <c r="E1825" s="236"/>
      <c r="F1825" s="236"/>
      <c r="G1825" s="358">
        <f>SUM(G1823:G1824)</f>
        <v>50267722.42</v>
      </c>
      <c r="H1825" s="358">
        <f>SUM(H1823:H1824)</f>
        <v>238775127</v>
      </c>
    </row>
    <row r="1826" spans="2:8" ht="12.75">
      <c r="B1826" s="166"/>
      <c r="C1826" s="245"/>
      <c r="D1826" s="244"/>
      <c r="E1826" s="244"/>
      <c r="G1826" s="352"/>
      <c r="H1826" s="352"/>
    </row>
    <row r="1827" spans="2:8" ht="12.75">
      <c r="B1827" s="341"/>
      <c r="C1827" s="221">
        <v>306750</v>
      </c>
      <c r="D1827" s="361" t="s">
        <v>1510</v>
      </c>
      <c r="E1827" s="244"/>
      <c r="G1827" s="352"/>
      <c r="H1827" s="352"/>
    </row>
    <row r="1828" spans="1:8" ht="12.75">
      <c r="A1828" s="334" t="s">
        <v>835</v>
      </c>
      <c r="B1828" s="334" t="s">
        <v>1059</v>
      </c>
      <c r="C1828" s="252"/>
      <c r="D1828" s="166" t="s">
        <v>1393</v>
      </c>
      <c r="E1828" s="244"/>
      <c r="G1828" s="352">
        <f>G411</f>
        <v>0</v>
      </c>
      <c r="H1828" s="352">
        <v>0</v>
      </c>
    </row>
    <row r="1829" spans="1:8" ht="12.75">
      <c r="A1829" s="334" t="s">
        <v>1398</v>
      </c>
      <c r="B1829" s="334" t="s">
        <v>1057</v>
      </c>
      <c r="C1829" s="166"/>
      <c r="D1829" s="166" t="s">
        <v>845</v>
      </c>
      <c r="E1829" s="244"/>
      <c r="G1829" s="352">
        <f>G424</f>
        <v>34141651.33</v>
      </c>
      <c r="H1829" s="352">
        <v>11567662</v>
      </c>
    </row>
    <row r="1830" spans="1:8" ht="12.75">
      <c r="A1830" s="334" t="s">
        <v>863</v>
      </c>
      <c r="B1830" s="334" t="s">
        <v>1057</v>
      </c>
      <c r="C1830" s="252"/>
      <c r="D1830" s="166" t="s">
        <v>1228</v>
      </c>
      <c r="E1830" s="166"/>
      <c r="G1830" s="352">
        <f>G464</f>
        <v>1826341.81</v>
      </c>
      <c r="H1830" s="352">
        <v>525464.07</v>
      </c>
    </row>
    <row r="1831" spans="1:8" ht="12.75">
      <c r="A1831" s="334" t="s">
        <v>863</v>
      </c>
      <c r="B1831" s="334" t="s">
        <v>1059</v>
      </c>
      <c r="C1831" s="252"/>
      <c r="D1831" s="166" t="s">
        <v>1229</v>
      </c>
      <c r="E1831" s="244"/>
      <c r="G1831" s="352">
        <f>G465</f>
        <v>10158024.87</v>
      </c>
      <c r="H1831" s="352">
        <v>9993419.13</v>
      </c>
    </row>
    <row r="1832" spans="1:8" ht="12.75">
      <c r="A1832" s="334" t="s">
        <v>863</v>
      </c>
      <c r="B1832" s="334" t="s">
        <v>1062</v>
      </c>
      <c r="C1832" s="252"/>
      <c r="D1832" s="166" t="s">
        <v>1231</v>
      </c>
      <c r="E1832" s="244"/>
      <c r="G1832" s="352">
        <f>G467</f>
        <v>0</v>
      </c>
      <c r="H1832" s="352">
        <v>28000</v>
      </c>
    </row>
    <row r="1833" spans="1:8" ht="12.75">
      <c r="A1833" s="334" t="s">
        <v>947</v>
      </c>
      <c r="B1833" s="334" t="s">
        <v>1057</v>
      </c>
      <c r="C1833" s="252"/>
      <c r="D1833" s="166" t="s">
        <v>635</v>
      </c>
      <c r="E1833" s="244"/>
      <c r="G1833" s="352">
        <f>G496</f>
        <v>6939007.96</v>
      </c>
      <c r="H1833" s="352">
        <v>4792542.83</v>
      </c>
    </row>
    <row r="1834" spans="1:8" ht="12.75">
      <c r="A1834" s="334" t="s">
        <v>947</v>
      </c>
      <c r="B1834" s="334" t="s">
        <v>1059</v>
      </c>
      <c r="C1834" s="252"/>
      <c r="D1834" s="166" t="s">
        <v>636</v>
      </c>
      <c r="E1834" s="244"/>
      <c r="G1834" s="352">
        <f>G497</f>
        <v>3066512.84</v>
      </c>
      <c r="H1834" s="352">
        <v>3983055.14</v>
      </c>
    </row>
    <row r="1835" spans="1:8" ht="12.75">
      <c r="A1835" s="334" t="s">
        <v>947</v>
      </c>
      <c r="B1835" s="334" t="s">
        <v>1062</v>
      </c>
      <c r="C1835" s="252"/>
      <c r="D1835" s="166" t="s">
        <v>638</v>
      </c>
      <c r="E1835" s="244"/>
      <c r="G1835" s="352">
        <f>G499</f>
        <v>319823.95</v>
      </c>
      <c r="H1835" s="352">
        <v>0</v>
      </c>
    </row>
    <row r="1836" spans="1:8" ht="12.75">
      <c r="A1836" s="334" t="s">
        <v>22</v>
      </c>
      <c r="B1836" s="334" t="s">
        <v>1057</v>
      </c>
      <c r="C1836" s="252"/>
      <c r="D1836" s="166" t="s">
        <v>175</v>
      </c>
      <c r="E1836" s="244"/>
      <c r="G1836" s="352">
        <f>G527</f>
        <v>4256827</v>
      </c>
      <c r="H1836" s="353">
        <v>8223678.589999999</v>
      </c>
    </row>
    <row r="1837" spans="1:8" ht="12.75">
      <c r="A1837" s="334" t="s">
        <v>22</v>
      </c>
      <c r="B1837" s="334" t="s">
        <v>1059</v>
      </c>
      <c r="C1837" s="252"/>
      <c r="D1837" s="166" t="s">
        <v>176</v>
      </c>
      <c r="E1837" s="244"/>
      <c r="G1837" s="352">
        <f>G528</f>
        <v>0</v>
      </c>
      <c r="H1837" s="353">
        <v>0</v>
      </c>
    </row>
    <row r="1838" spans="1:8" ht="12.75">
      <c r="A1838" s="334" t="s">
        <v>22</v>
      </c>
      <c r="B1838" s="334" t="s">
        <v>1062</v>
      </c>
      <c r="C1838" s="252"/>
      <c r="D1838" s="166" t="s">
        <v>178</v>
      </c>
      <c r="E1838" s="244"/>
      <c r="G1838" s="352">
        <f>G530</f>
        <v>281000</v>
      </c>
      <c r="H1838" s="353">
        <v>0</v>
      </c>
    </row>
    <row r="1839" spans="1:8" ht="12.75">
      <c r="A1839" s="334" t="s">
        <v>590</v>
      </c>
      <c r="B1839" s="334" t="s">
        <v>1057</v>
      </c>
      <c r="C1839" s="252"/>
      <c r="D1839" s="253" t="s">
        <v>592</v>
      </c>
      <c r="E1839" s="244"/>
      <c r="G1839" s="352">
        <f>G561</f>
        <v>220500</v>
      </c>
      <c r="H1839" s="353">
        <v>262933</v>
      </c>
    </row>
    <row r="1840" spans="1:8" ht="12.75">
      <c r="A1840" s="334" t="s">
        <v>1554</v>
      </c>
      <c r="B1840" s="334" t="s">
        <v>1057</v>
      </c>
      <c r="C1840" s="252"/>
      <c r="D1840" s="166" t="s">
        <v>1636</v>
      </c>
      <c r="E1840" s="244"/>
      <c r="G1840" s="352">
        <f>G594</f>
        <v>11234103.47</v>
      </c>
      <c r="H1840" s="353">
        <v>454000</v>
      </c>
    </row>
    <row r="1841" spans="1:8" ht="12.75">
      <c r="A1841" s="334" t="s">
        <v>1554</v>
      </c>
      <c r="B1841" s="334" t="s">
        <v>1059</v>
      </c>
      <c r="C1841" s="252"/>
      <c r="D1841" s="166" t="s">
        <v>1637</v>
      </c>
      <c r="E1841" s="244"/>
      <c r="G1841" s="352">
        <f>G595</f>
        <v>2562242.51</v>
      </c>
      <c r="H1841" s="353">
        <v>1231004.45</v>
      </c>
    </row>
    <row r="1842" spans="2:8" ht="12.75">
      <c r="B1842" s="166"/>
      <c r="C1842" s="345"/>
      <c r="D1842" s="236" t="s">
        <v>943</v>
      </c>
      <c r="E1842" s="236"/>
      <c r="F1842" s="236"/>
      <c r="G1842" s="358">
        <f>SUM(G1828:G1841)</f>
        <v>75006035.74000001</v>
      </c>
      <c r="H1842" s="358">
        <f>SUM(H1828:H1841)</f>
        <v>41061759.21</v>
      </c>
    </row>
    <row r="1843" spans="5:8" ht="12.75">
      <c r="E1843" s="244"/>
      <c r="G1843" s="352"/>
      <c r="H1843" s="352"/>
    </row>
    <row r="1844" spans="2:8" ht="12.75">
      <c r="B1844" s="166"/>
      <c r="C1844" s="245"/>
      <c r="D1844" s="244"/>
      <c r="E1844" s="244"/>
      <c r="G1844" s="352"/>
      <c r="H1844" s="352"/>
    </row>
    <row r="1845" spans="2:8" ht="12.75">
      <c r="B1845" s="166"/>
      <c r="C1845" s="245"/>
      <c r="D1845" s="225" t="s">
        <v>553</v>
      </c>
      <c r="E1845" s="244"/>
      <c r="G1845" s="352"/>
      <c r="H1845" s="352"/>
    </row>
    <row r="1846" spans="2:8" ht="12.75">
      <c r="B1846" s="341"/>
      <c r="C1846" s="221">
        <v>307340</v>
      </c>
      <c r="D1846" s="222" t="s">
        <v>554</v>
      </c>
      <c r="E1846" s="244"/>
      <c r="G1846" s="352"/>
      <c r="H1846" s="352"/>
    </row>
    <row r="1847" spans="1:8" ht="12.75">
      <c r="A1847" s="334" t="s">
        <v>1247</v>
      </c>
      <c r="B1847" s="334" t="s">
        <v>778</v>
      </c>
      <c r="C1847" s="252"/>
      <c r="D1847" s="166" t="s">
        <v>1250</v>
      </c>
      <c r="E1847" s="244"/>
      <c r="G1847" s="352">
        <f>G576</f>
        <v>62736689.45</v>
      </c>
      <c r="H1847" s="352">
        <v>45096189.66</v>
      </c>
    </row>
    <row r="1848" spans="1:8" ht="12.75">
      <c r="A1848" s="334" t="s">
        <v>1251</v>
      </c>
      <c r="B1848" s="334" t="s">
        <v>778</v>
      </c>
      <c r="C1848" s="252"/>
      <c r="D1848" s="166" t="s">
        <v>1252</v>
      </c>
      <c r="E1848" s="244"/>
      <c r="G1848" s="352">
        <f>G577</f>
        <v>7183879</v>
      </c>
      <c r="H1848" s="352">
        <v>4078032</v>
      </c>
    </row>
    <row r="1849" spans="1:8" ht="12.75">
      <c r="A1849" s="334" t="s">
        <v>1253</v>
      </c>
      <c r="B1849" s="334" t="s">
        <v>778</v>
      </c>
      <c r="C1849" s="252"/>
      <c r="D1849" s="166" t="s">
        <v>1254</v>
      </c>
      <c r="E1849" s="244"/>
      <c r="G1849" s="352">
        <f>G578</f>
        <v>10679</v>
      </c>
      <c r="H1849" s="352">
        <v>1225</v>
      </c>
    </row>
    <row r="1850" spans="1:8" ht="12.75">
      <c r="A1850" s="334" t="s">
        <v>1255</v>
      </c>
      <c r="B1850" s="334" t="s">
        <v>1167</v>
      </c>
      <c r="C1850" s="252"/>
      <c r="D1850" s="166" t="s">
        <v>1549</v>
      </c>
      <c r="E1850" s="244"/>
      <c r="G1850" s="352">
        <f>G579</f>
        <v>46140117</v>
      </c>
      <c r="H1850" s="352">
        <v>36148135</v>
      </c>
    </row>
    <row r="1851" spans="1:8" ht="12.75">
      <c r="A1851" s="334" t="s">
        <v>1550</v>
      </c>
      <c r="B1851" s="334" t="s">
        <v>1167</v>
      </c>
      <c r="C1851" s="252"/>
      <c r="D1851" s="166" t="s">
        <v>1551</v>
      </c>
      <c r="E1851" s="244"/>
      <c r="G1851" s="352">
        <f>G580</f>
        <v>12423408</v>
      </c>
      <c r="H1851" s="352">
        <v>8877811</v>
      </c>
    </row>
    <row r="1852" spans="2:8" ht="12.75">
      <c r="B1852" s="166"/>
      <c r="C1852" s="345"/>
      <c r="D1852" s="236" t="s">
        <v>943</v>
      </c>
      <c r="E1852" s="236"/>
      <c r="F1852" s="236"/>
      <c r="G1852" s="358">
        <f>SUM(G1847:G1851)</f>
        <v>128494772.45</v>
      </c>
      <c r="H1852" s="358">
        <f>SUM(H1847:H1851)</f>
        <v>94201392.66</v>
      </c>
    </row>
    <row r="1853" spans="2:8" ht="12.75">
      <c r="B1853" s="166"/>
      <c r="C1853" s="245"/>
      <c r="D1853" s="244"/>
      <c r="E1853" s="244"/>
      <c r="G1853" s="352"/>
      <c r="H1853" s="352"/>
    </row>
    <row r="1854" spans="2:8" ht="12.75">
      <c r="B1854" s="341"/>
      <c r="C1854" s="221">
        <v>307450</v>
      </c>
      <c r="D1854" s="222" t="s">
        <v>555</v>
      </c>
      <c r="E1854" s="244"/>
      <c r="G1854" s="352"/>
      <c r="H1854" s="352"/>
    </row>
    <row r="1855" spans="1:8" ht="12.75">
      <c r="A1855" s="334" t="s">
        <v>1158</v>
      </c>
      <c r="B1855" s="334" t="s">
        <v>1159</v>
      </c>
      <c r="C1855" s="166"/>
      <c r="D1855" s="166" t="s">
        <v>1160</v>
      </c>
      <c r="E1855" s="244"/>
      <c r="G1855" s="352">
        <f aca="true" t="shared" si="20" ref="G1855:G1862">G191</f>
        <v>69018487.35000001</v>
      </c>
      <c r="H1855" s="352">
        <v>59378912.45</v>
      </c>
    </row>
    <row r="1856" spans="1:8" ht="12.75">
      <c r="A1856" s="334" t="s">
        <v>1158</v>
      </c>
      <c r="B1856" s="334" t="s">
        <v>1161</v>
      </c>
      <c r="C1856" s="166"/>
      <c r="D1856" s="166" t="s">
        <v>1162</v>
      </c>
      <c r="E1856" s="244"/>
      <c r="G1856" s="352">
        <f t="shared" si="20"/>
        <v>27304194</v>
      </c>
      <c r="H1856" s="352">
        <v>11794477.9</v>
      </c>
    </row>
    <row r="1857" spans="1:8" ht="12.75">
      <c r="A1857" s="334" t="s">
        <v>1158</v>
      </c>
      <c r="B1857" s="334" t="s">
        <v>1163</v>
      </c>
      <c r="C1857" s="166"/>
      <c r="D1857" s="166" t="s">
        <v>1164</v>
      </c>
      <c r="E1857" s="244"/>
      <c r="G1857" s="352">
        <f t="shared" si="20"/>
        <v>40982995.1</v>
      </c>
      <c r="H1857" s="352">
        <v>28323111.450000003</v>
      </c>
    </row>
    <row r="1858" spans="1:8" ht="12.75">
      <c r="A1858" s="334" t="s">
        <v>1158</v>
      </c>
      <c r="B1858" s="334" t="s">
        <v>1165</v>
      </c>
      <c r="C1858" s="166"/>
      <c r="D1858" s="166" t="s">
        <v>1166</v>
      </c>
      <c r="E1858" s="244"/>
      <c r="G1858" s="352">
        <f t="shared" si="20"/>
        <v>53488475.2</v>
      </c>
      <c r="H1858" s="352">
        <v>35293114.650000006</v>
      </c>
    </row>
    <row r="1859" spans="1:8" ht="12.75">
      <c r="A1859" s="334" t="s">
        <v>1158</v>
      </c>
      <c r="B1859" s="334" t="s">
        <v>1167</v>
      </c>
      <c r="C1859" s="166"/>
      <c r="D1859" s="166" t="s">
        <v>1168</v>
      </c>
      <c r="E1859" s="244"/>
      <c r="G1859" s="352">
        <f t="shared" si="20"/>
        <v>0</v>
      </c>
      <c r="H1859" s="352">
        <v>0</v>
      </c>
    </row>
    <row r="1860" spans="1:8" ht="12.75">
      <c r="A1860" s="334" t="s">
        <v>1158</v>
      </c>
      <c r="B1860" s="334" t="s">
        <v>1169</v>
      </c>
      <c r="C1860" s="166"/>
      <c r="D1860" s="166" t="s">
        <v>0</v>
      </c>
      <c r="E1860" s="244"/>
      <c r="G1860" s="352">
        <f t="shared" si="20"/>
        <v>38490553.45</v>
      </c>
      <c r="H1860" s="352">
        <v>23088847.950000003</v>
      </c>
    </row>
    <row r="1861" spans="1:8" ht="12.75">
      <c r="A1861" s="334" t="s">
        <v>1158</v>
      </c>
      <c r="B1861" s="334" t="s">
        <v>1</v>
      </c>
      <c r="C1861" s="252"/>
      <c r="D1861" s="166" t="s">
        <v>727</v>
      </c>
      <c r="E1861" s="244"/>
      <c r="G1861" s="352">
        <f t="shared" si="20"/>
        <v>34437119.6</v>
      </c>
      <c r="H1861" s="352">
        <v>23679261.7</v>
      </c>
    </row>
    <row r="1862" spans="1:8" ht="12.75">
      <c r="A1862" s="334" t="s">
        <v>1158</v>
      </c>
      <c r="B1862" s="334" t="s">
        <v>728</v>
      </c>
      <c r="C1862" s="252"/>
      <c r="D1862" s="166" t="s">
        <v>729</v>
      </c>
      <c r="E1862" s="244"/>
      <c r="G1862" s="352">
        <f t="shared" si="20"/>
        <v>12802095</v>
      </c>
      <c r="H1862" s="352">
        <v>6820757.399999999</v>
      </c>
    </row>
    <row r="1863" spans="1:8" ht="12.75">
      <c r="A1863" s="334" t="s">
        <v>1158</v>
      </c>
      <c r="B1863" s="334" t="s">
        <v>1064</v>
      </c>
      <c r="C1863" s="252"/>
      <c r="D1863" s="166" t="s">
        <v>1065</v>
      </c>
      <c r="E1863" s="244"/>
      <c r="G1863" s="352">
        <f aca="true" t="shared" si="21" ref="G1863:G1873">G219</f>
        <v>47776845.25</v>
      </c>
      <c r="H1863" s="352">
        <v>29027831.25</v>
      </c>
    </row>
    <row r="1864" spans="1:8" ht="12.75">
      <c r="A1864" s="334" t="s">
        <v>1158</v>
      </c>
      <c r="B1864" s="334" t="s">
        <v>1066</v>
      </c>
      <c r="C1864" s="166"/>
      <c r="D1864" s="166" t="s">
        <v>1067</v>
      </c>
      <c r="E1864" s="244"/>
      <c r="G1864" s="352">
        <f t="shared" si="21"/>
        <v>32445958.8</v>
      </c>
      <c r="H1864" s="352">
        <v>20664111.05</v>
      </c>
    </row>
    <row r="1865" spans="1:8" ht="12.75">
      <c r="A1865" s="334" t="s">
        <v>1158</v>
      </c>
      <c r="B1865" s="334" t="s">
        <v>778</v>
      </c>
      <c r="C1865" s="252"/>
      <c r="D1865" s="166" t="s">
        <v>779</v>
      </c>
      <c r="E1865" s="244"/>
      <c r="G1865" s="352">
        <f t="shared" si="21"/>
        <v>23550745.35</v>
      </c>
      <c r="H1865" s="352">
        <v>17144710.799999997</v>
      </c>
    </row>
    <row r="1866" spans="1:8" ht="12.75">
      <c r="A1866" s="334" t="s">
        <v>780</v>
      </c>
      <c r="B1866" s="334" t="s">
        <v>1159</v>
      </c>
      <c r="C1866" s="166"/>
      <c r="D1866" s="166" t="s">
        <v>781</v>
      </c>
      <c r="E1866" s="244"/>
      <c r="G1866" s="352">
        <f t="shared" si="21"/>
        <v>290491</v>
      </c>
      <c r="H1866" s="352">
        <v>49469.2</v>
      </c>
    </row>
    <row r="1867" spans="1:8" ht="12.75">
      <c r="A1867" s="334" t="s">
        <v>780</v>
      </c>
      <c r="B1867" s="334" t="s">
        <v>1161</v>
      </c>
      <c r="C1867" s="252"/>
      <c r="D1867" s="166" t="s">
        <v>782</v>
      </c>
      <c r="E1867" s="244"/>
      <c r="G1867" s="352">
        <f t="shared" si="21"/>
        <v>0</v>
      </c>
      <c r="H1867" s="353">
        <v>0</v>
      </c>
    </row>
    <row r="1868" spans="1:8" ht="12.75">
      <c r="A1868" s="334" t="s">
        <v>780</v>
      </c>
      <c r="B1868" s="334" t="s">
        <v>1163</v>
      </c>
      <c r="C1868" s="252"/>
      <c r="D1868" s="166" t="s">
        <v>783</v>
      </c>
      <c r="E1868" s="244"/>
      <c r="G1868" s="352">
        <f t="shared" si="21"/>
        <v>20224382.85</v>
      </c>
      <c r="H1868" s="352">
        <v>17693470.650000002</v>
      </c>
    </row>
    <row r="1869" spans="1:8" ht="12.75">
      <c r="A1869" s="334" t="s">
        <v>780</v>
      </c>
      <c r="B1869" s="334" t="s">
        <v>1165</v>
      </c>
      <c r="C1869" s="252"/>
      <c r="D1869" s="166" t="s">
        <v>784</v>
      </c>
      <c r="E1869" s="244"/>
      <c r="G1869" s="352">
        <f t="shared" si="21"/>
        <v>19865727.85</v>
      </c>
      <c r="H1869" s="352">
        <v>13090721.149999999</v>
      </c>
    </row>
    <row r="1870" spans="1:8" ht="12.75">
      <c r="A1870" s="334" t="s">
        <v>780</v>
      </c>
      <c r="B1870" s="334" t="s">
        <v>1167</v>
      </c>
      <c r="C1870" s="166"/>
      <c r="D1870" s="166" t="s">
        <v>785</v>
      </c>
      <c r="E1870" s="244"/>
      <c r="G1870" s="352">
        <f t="shared" si="21"/>
        <v>0</v>
      </c>
      <c r="H1870" s="352">
        <v>0</v>
      </c>
    </row>
    <row r="1871" spans="1:8" ht="12.75">
      <c r="A1871" s="334" t="s">
        <v>780</v>
      </c>
      <c r="B1871" s="334" t="s">
        <v>1169</v>
      </c>
      <c r="C1871" s="252"/>
      <c r="D1871" s="166" t="s">
        <v>786</v>
      </c>
      <c r="E1871" s="244"/>
      <c r="G1871" s="352">
        <f t="shared" si="21"/>
        <v>979237.75</v>
      </c>
      <c r="H1871" s="352">
        <v>1453127.85</v>
      </c>
    </row>
    <row r="1872" spans="1:8" ht="12.75">
      <c r="A1872" s="334" t="s">
        <v>780</v>
      </c>
      <c r="B1872" s="334" t="s">
        <v>1</v>
      </c>
      <c r="C1872" s="252"/>
      <c r="D1872" s="166" t="s">
        <v>787</v>
      </c>
      <c r="E1872" s="244"/>
      <c r="G1872" s="352">
        <f t="shared" si="21"/>
        <v>2967280.8</v>
      </c>
      <c r="H1872" s="352">
        <v>2212717</v>
      </c>
    </row>
    <row r="1873" spans="1:8" ht="12.75">
      <c r="A1873" s="334" t="s">
        <v>780</v>
      </c>
      <c r="B1873" s="334" t="s">
        <v>728</v>
      </c>
      <c r="C1873" s="252"/>
      <c r="D1873" s="166" t="s">
        <v>788</v>
      </c>
      <c r="E1873" s="244"/>
      <c r="G1873" s="352">
        <f t="shared" si="21"/>
        <v>0</v>
      </c>
      <c r="H1873" s="352">
        <v>0</v>
      </c>
    </row>
    <row r="1874" spans="1:8" ht="12.75">
      <c r="A1874" s="334" t="s">
        <v>780</v>
      </c>
      <c r="B1874" s="334" t="s">
        <v>1064</v>
      </c>
      <c r="C1874" s="252"/>
      <c r="D1874" s="166" t="s">
        <v>206</v>
      </c>
      <c r="E1874" s="244"/>
      <c r="G1874" s="352">
        <f aca="true" t="shared" si="22" ref="G1874:G1884">G250</f>
        <v>39518.35</v>
      </c>
      <c r="H1874" s="352">
        <v>60082.8</v>
      </c>
    </row>
    <row r="1875" spans="1:8" ht="12.75">
      <c r="A1875" s="334" t="s">
        <v>780</v>
      </c>
      <c r="B1875" s="334" t="s">
        <v>1066</v>
      </c>
      <c r="C1875" s="252"/>
      <c r="D1875" s="166" t="s">
        <v>207</v>
      </c>
      <c r="E1875" s="244"/>
      <c r="G1875" s="352">
        <f t="shared" si="22"/>
        <v>295242.35</v>
      </c>
      <c r="H1875" s="352">
        <v>99159.95</v>
      </c>
    </row>
    <row r="1876" spans="1:8" ht="12.75">
      <c r="A1876" s="334" t="s">
        <v>780</v>
      </c>
      <c r="B1876" s="334" t="s">
        <v>778</v>
      </c>
      <c r="C1876" s="166"/>
      <c r="D1876" s="166" t="s">
        <v>208</v>
      </c>
      <c r="E1876" s="244"/>
      <c r="G1876" s="352">
        <f t="shared" si="22"/>
        <v>1188584.75</v>
      </c>
      <c r="H1876" s="352">
        <v>1895696.9</v>
      </c>
    </row>
    <row r="1877" spans="1:8" ht="12.75">
      <c r="A1877" s="334" t="s">
        <v>209</v>
      </c>
      <c r="B1877" s="334" t="s">
        <v>1159</v>
      </c>
      <c r="C1877" s="166"/>
      <c r="D1877" s="166" t="s">
        <v>210</v>
      </c>
      <c r="E1877" s="244"/>
      <c r="G1877" s="352">
        <f t="shared" si="22"/>
        <v>23362078.75</v>
      </c>
      <c r="H1877" s="352">
        <v>12202902.199999997</v>
      </c>
    </row>
    <row r="1878" spans="1:8" ht="12.75">
      <c r="A1878" s="334" t="s">
        <v>209</v>
      </c>
      <c r="B1878" s="334" t="s">
        <v>1161</v>
      </c>
      <c r="C1878" s="252"/>
      <c r="D1878" s="166" t="s">
        <v>211</v>
      </c>
      <c r="E1878" s="244"/>
      <c r="G1878" s="352">
        <f t="shared" si="22"/>
        <v>5973602.01</v>
      </c>
      <c r="H1878" s="352">
        <v>2019102.6</v>
      </c>
    </row>
    <row r="1879" spans="1:8" ht="12.75">
      <c r="A1879" s="334" t="s">
        <v>209</v>
      </c>
      <c r="B1879" s="334" t="s">
        <v>1163</v>
      </c>
      <c r="C1879" s="252"/>
      <c r="D1879" s="166" t="s">
        <v>212</v>
      </c>
      <c r="E1879" s="244"/>
      <c r="G1879" s="352">
        <f t="shared" si="22"/>
        <v>9710181.96</v>
      </c>
      <c r="H1879" s="352">
        <v>7183137.45</v>
      </c>
    </row>
    <row r="1880" spans="1:8" ht="12.75">
      <c r="A1880" s="334" t="s">
        <v>209</v>
      </c>
      <c r="B1880" s="334" t="s">
        <v>1165</v>
      </c>
      <c r="C1880" s="252"/>
      <c r="D1880" s="166" t="s">
        <v>213</v>
      </c>
      <c r="E1880" s="244"/>
      <c r="G1880" s="352">
        <f t="shared" si="22"/>
        <v>13745520.63</v>
      </c>
      <c r="H1880" s="352">
        <v>9231873.200000003</v>
      </c>
    </row>
    <row r="1881" spans="1:8" ht="12.75">
      <c r="A1881" s="334" t="s">
        <v>209</v>
      </c>
      <c r="B1881" s="334" t="s">
        <v>1167</v>
      </c>
      <c r="C1881" s="166"/>
      <c r="D1881" s="166" t="s">
        <v>214</v>
      </c>
      <c r="E1881" s="244"/>
      <c r="G1881" s="352">
        <f t="shared" si="22"/>
        <v>0</v>
      </c>
      <c r="H1881" s="352">
        <v>0</v>
      </c>
    </row>
    <row r="1882" spans="1:8" ht="12.75">
      <c r="A1882" s="334" t="s">
        <v>209</v>
      </c>
      <c r="B1882" s="334" t="s">
        <v>1169</v>
      </c>
      <c r="C1882" s="252"/>
      <c r="D1882" s="166" t="s">
        <v>215</v>
      </c>
      <c r="E1882" s="244"/>
      <c r="G1882" s="352">
        <f t="shared" si="22"/>
        <v>8060959.31</v>
      </c>
      <c r="H1882" s="352">
        <v>5645906.6</v>
      </c>
    </row>
    <row r="1883" spans="1:8" ht="12.75">
      <c r="A1883" s="334" t="s">
        <v>209</v>
      </c>
      <c r="B1883" s="334" t="s">
        <v>1</v>
      </c>
      <c r="C1883" s="252"/>
      <c r="D1883" s="166" t="s">
        <v>216</v>
      </c>
      <c r="E1883" s="244"/>
      <c r="G1883" s="352">
        <f t="shared" si="22"/>
        <v>8260481.44</v>
      </c>
      <c r="H1883" s="352">
        <v>5708254.950000001</v>
      </c>
    </row>
    <row r="1884" spans="1:8" ht="12.75">
      <c r="A1884" s="334" t="s">
        <v>209</v>
      </c>
      <c r="B1884" s="334" t="s">
        <v>728</v>
      </c>
      <c r="C1884" s="252"/>
      <c r="D1884" s="166" t="s">
        <v>217</v>
      </c>
      <c r="E1884" s="244"/>
      <c r="G1884" s="352">
        <f t="shared" si="22"/>
        <v>3226128.72</v>
      </c>
      <c r="H1884" s="352">
        <v>1592173.2</v>
      </c>
    </row>
    <row r="1885" spans="1:8" ht="12.75">
      <c r="A1885" s="334" t="s">
        <v>209</v>
      </c>
      <c r="B1885" s="334" t="s">
        <v>1064</v>
      </c>
      <c r="C1885" s="252"/>
      <c r="D1885" s="166" t="s">
        <v>1349</v>
      </c>
      <c r="E1885" s="244"/>
      <c r="G1885" s="352">
        <f aca="true" t="shared" si="23" ref="G1885:G1896">G281</f>
        <v>10312418.72</v>
      </c>
      <c r="H1885" s="352">
        <v>5677960.9</v>
      </c>
    </row>
    <row r="1886" spans="1:8" ht="12.75">
      <c r="A1886" s="334" t="s">
        <v>209</v>
      </c>
      <c r="B1886" s="334" t="s">
        <v>1066</v>
      </c>
      <c r="C1886" s="252"/>
      <c r="D1886" s="166" t="s">
        <v>1350</v>
      </c>
      <c r="E1886" s="244"/>
      <c r="G1886" s="352">
        <f t="shared" si="23"/>
        <v>7862597.77</v>
      </c>
      <c r="H1886" s="352">
        <v>4491374.4</v>
      </c>
    </row>
    <row r="1887" spans="1:8" ht="12.75">
      <c r="A1887" s="334" t="s">
        <v>209</v>
      </c>
      <c r="B1887" s="334" t="s">
        <v>778</v>
      </c>
      <c r="C1887" s="166"/>
      <c r="D1887" s="166" t="s">
        <v>1351</v>
      </c>
      <c r="E1887" s="244"/>
      <c r="G1887" s="352">
        <f t="shared" si="23"/>
        <v>6285437.74</v>
      </c>
      <c r="H1887" s="352">
        <v>4775905.05</v>
      </c>
    </row>
    <row r="1888" spans="1:8" ht="12.75">
      <c r="A1888" s="334" t="s">
        <v>1352</v>
      </c>
      <c r="B1888" s="334" t="s">
        <v>1064</v>
      </c>
      <c r="C1888" s="252"/>
      <c r="D1888" s="166" t="s">
        <v>1353</v>
      </c>
      <c r="E1888" s="244"/>
      <c r="G1888" s="352">
        <f t="shared" si="23"/>
        <v>76606252</v>
      </c>
      <c r="H1888" s="352">
        <v>432081719</v>
      </c>
    </row>
    <row r="1889" spans="1:8" ht="12.75">
      <c r="A1889" s="334" t="s">
        <v>1354</v>
      </c>
      <c r="B1889" s="334" t="s">
        <v>1159</v>
      </c>
      <c r="C1889" s="166"/>
      <c r="D1889" s="166" t="s">
        <v>1355</v>
      </c>
      <c r="E1889" s="244"/>
      <c r="G1889" s="352">
        <f t="shared" si="23"/>
        <v>991627.2</v>
      </c>
      <c r="H1889" s="352">
        <v>3885163.2</v>
      </c>
    </row>
    <row r="1890" spans="1:8" ht="12.75">
      <c r="A1890" s="334" t="s">
        <v>1354</v>
      </c>
      <c r="B1890" s="334" t="s">
        <v>1161</v>
      </c>
      <c r="C1890" s="252"/>
      <c r="D1890" s="166" t="s">
        <v>1356</v>
      </c>
      <c r="E1890" s="244"/>
      <c r="G1890" s="352">
        <f t="shared" si="23"/>
        <v>1034360.4</v>
      </c>
      <c r="H1890" s="352">
        <v>3866769.6</v>
      </c>
    </row>
    <row r="1891" spans="1:8" ht="12.75">
      <c r="A1891" s="334" t="s">
        <v>1354</v>
      </c>
      <c r="B1891" s="334" t="s">
        <v>1163</v>
      </c>
      <c r="C1891" s="252"/>
      <c r="D1891" s="166" t="s">
        <v>1357</v>
      </c>
      <c r="E1891" s="244"/>
      <c r="G1891" s="352">
        <f t="shared" si="23"/>
        <v>743550</v>
      </c>
      <c r="H1891" s="352">
        <v>2779627.2</v>
      </c>
    </row>
    <row r="1892" spans="1:8" ht="12.75">
      <c r="A1892" s="334" t="s">
        <v>1354</v>
      </c>
      <c r="B1892" s="334" t="s">
        <v>1165</v>
      </c>
      <c r="C1892" s="252"/>
      <c r="D1892" s="166" t="s">
        <v>1358</v>
      </c>
      <c r="E1892" s="244"/>
      <c r="G1892" s="352">
        <f t="shared" si="23"/>
        <v>743550</v>
      </c>
      <c r="H1892" s="352">
        <v>2316356</v>
      </c>
    </row>
    <row r="1893" spans="1:8" ht="12.75">
      <c r="A1893" s="334" t="s">
        <v>1354</v>
      </c>
      <c r="B1893" s="334" t="s">
        <v>1167</v>
      </c>
      <c r="C1893" s="166"/>
      <c r="D1893" s="166" t="s">
        <v>1359</v>
      </c>
      <c r="E1893" s="244"/>
      <c r="G1893" s="352">
        <f t="shared" si="23"/>
        <v>0</v>
      </c>
      <c r="H1893" s="352">
        <v>0</v>
      </c>
    </row>
    <row r="1894" spans="1:8" ht="12.75">
      <c r="A1894" s="334" t="s">
        <v>1354</v>
      </c>
      <c r="B1894" s="334" t="s">
        <v>1169</v>
      </c>
      <c r="C1894" s="252"/>
      <c r="D1894" s="166" t="s">
        <v>1360</v>
      </c>
      <c r="E1894" s="244"/>
      <c r="G1894" s="352">
        <f t="shared" si="23"/>
        <v>784477.2</v>
      </c>
      <c r="H1894" s="352">
        <v>2932627.2</v>
      </c>
    </row>
    <row r="1895" spans="1:8" ht="12.75">
      <c r="A1895" s="334" t="s">
        <v>1354</v>
      </c>
      <c r="B1895" s="334" t="s">
        <v>1</v>
      </c>
      <c r="C1895" s="252"/>
      <c r="D1895" s="166" t="s">
        <v>1361</v>
      </c>
      <c r="E1895" s="244"/>
      <c r="G1895" s="352">
        <f t="shared" si="23"/>
        <v>886891</v>
      </c>
      <c r="H1895" s="352">
        <v>2932627.2</v>
      </c>
    </row>
    <row r="1896" spans="1:8" ht="12.75">
      <c r="A1896" s="334" t="s">
        <v>1354</v>
      </c>
      <c r="B1896" s="334" t="s">
        <v>728</v>
      </c>
      <c r="C1896" s="252"/>
      <c r="D1896" s="166" t="s">
        <v>556</v>
      </c>
      <c r="E1896" s="244"/>
      <c r="G1896" s="352">
        <f t="shared" si="23"/>
        <v>729818.4</v>
      </c>
      <c r="H1896" s="352">
        <v>2728291.2</v>
      </c>
    </row>
    <row r="1897" spans="1:8" ht="12.75">
      <c r="A1897" s="334" t="s">
        <v>1354</v>
      </c>
      <c r="B1897" s="334" t="s">
        <v>1064</v>
      </c>
      <c r="C1897" s="252"/>
      <c r="D1897" s="166" t="s">
        <v>905</v>
      </c>
      <c r="E1897" s="244"/>
      <c r="G1897" s="352">
        <f aca="true" t="shared" si="24" ref="G1897:G1908">G313</f>
        <v>0</v>
      </c>
      <c r="H1897" s="352">
        <v>0</v>
      </c>
    </row>
    <row r="1898" spans="1:8" ht="12.75">
      <c r="A1898" s="334" t="s">
        <v>1354</v>
      </c>
      <c r="B1898" s="334" t="s">
        <v>1066</v>
      </c>
      <c r="C1898" s="252"/>
      <c r="D1898" s="166" t="s">
        <v>906</v>
      </c>
      <c r="E1898" s="244"/>
      <c r="G1898" s="352">
        <f t="shared" si="24"/>
        <v>784477</v>
      </c>
      <c r="H1898" s="352">
        <v>2932627.2</v>
      </c>
    </row>
    <row r="1899" spans="1:8" ht="12.75">
      <c r="A1899" s="334" t="s">
        <v>1354</v>
      </c>
      <c r="B1899" s="334" t="s">
        <v>778</v>
      </c>
      <c r="C1899" s="166"/>
      <c r="D1899" s="166" t="s">
        <v>907</v>
      </c>
      <c r="E1899" s="244"/>
      <c r="G1899" s="352">
        <f t="shared" si="24"/>
        <v>743550</v>
      </c>
      <c r="H1899" s="352">
        <v>2779627.2</v>
      </c>
    </row>
    <row r="1900" spans="1:8" ht="12.75">
      <c r="A1900" s="334" t="s">
        <v>908</v>
      </c>
      <c r="B1900" s="334" t="s">
        <v>1064</v>
      </c>
      <c r="C1900" s="252"/>
      <c r="D1900" s="166" t="s">
        <v>909</v>
      </c>
      <c r="E1900" s="244"/>
      <c r="G1900" s="352">
        <f t="shared" si="24"/>
        <v>96778175</v>
      </c>
      <c r="H1900" s="352">
        <v>320229905</v>
      </c>
    </row>
    <row r="1901" spans="1:8" ht="12.75">
      <c r="A1901" s="334" t="s">
        <v>910</v>
      </c>
      <c r="B1901" s="334" t="s">
        <v>1159</v>
      </c>
      <c r="C1901" s="166"/>
      <c r="D1901" s="166" t="s">
        <v>911</v>
      </c>
      <c r="E1901" s="244"/>
      <c r="G1901" s="352">
        <f t="shared" si="24"/>
        <v>68943839.26</v>
      </c>
      <c r="H1901" s="352">
        <v>42391398.15</v>
      </c>
    </row>
    <row r="1902" spans="1:8" ht="12.75">
      <c r="A1902" s="334" t="s">
        <v>910</v>
      </c>
      <c r="B1902" s="334" t="s">
        <v>1161</v>
      </c>
      <c r="C1902" s="252"/>
      <c r="D1902" s="166" t="s">
        <v>912</v>
      </c>
      <c r="E1902" s="244"/>
      <c r="G1902" s="352">
        <f t="shared" si="24"/>
        <v>2185318.85</v>
      </c>
      <c r="H1902" s="353">
        <v>1700594</v>
      </c>
    </row>
    <row r="1903" spans="1:8" ht="12.75">
      <c r="A1903" s="334" t="s">
        <v>910</v>
      </c>
      <c r="B1903" s="334" t="s">
        <v>1163</v>
      </c>
      <c r="C1903" s="252"/>
      <c r="D1903" s="166" t="s">
        <v>913</v>
      </c>
      <c r="E1903" s="244"/>
      <c r="G1903" s="352">
        <f t="shared" si="24"/>
        <v>4552839</v>
      </c>
      <c r="H1903" s="352">
        <v>3789703</v>
      </c>
    </row>
    <row r="1904" spans="1:8" ht="12.75">
      <c r="A1904" s="334" t="s">
        <v>910</v>
      </c>
      <c r="B1904" s="334" t="s">
        <v>1165</v>
      </c>
      <c r="C1904" s="252"/>
      <c r="D1904" s="166" t="s">
        <v>914</v>
      </c>
      <c r="E1904" s="244"/>
      <c r="G1904" s="352">
        <f t="shared" si="24"/>
        <v>4673072</v>
      </c>
      <c r="H1904" s="352">
        <v>4121107</v>
      </c>
    </row>
    <row r="1905" spans="1:8" ht="12.75">
      <c r="A1905" s="334" t="s">
        <v>910</v>
      </c>
      <c r="B1905" s="334" t="s">
        <v>1167</v>
      </c>
      <c r="C1905" s="166"/>
      <c r="D1905" s="166" t="s">
        <v>915</v>
      </c>
      <c r="E1905" s="244"/>
      <c r="G1905" s="352">
        <f t="shared" si="24"/>
        <v>0</v>
      </c>
      <c r="H1905" s="352">
        <v>0</v>
      </c>
    </row>
    <row r="1906" spans="1:8" ht="12.75">
      <c r="A1906" s="334" t="s">
        <v>910</v>
      </c>
      <c r="B1906" s="334" t="s">
        <v>1169</v>
      </c>
      <c r="C1906" s="252"/>
      <c r="D1906" s="166" t="s">
        <v>916</v>
      </c>
      <c r="E1906" s="244"/>
      <c r="G1906" s="352">
        <f t="shared" si="24"/>
        <v>3005712</v>
      </c>
      <c r="H1906" s="352">
        <v>2238458</v>
      </c>
    </row>
    <row r="1907" spans="1:8" ht="12.75">
      <c r="A1907" s="334" t="s">
        <v>910</v>
      </c>
      <c r="B1907" s="334" t="s">
        <v>1</v>
      </c>
      <c r="C1907" s="252"/>
      <c r="D1907" s="166" t="s">
        <v>917</v>
      </c>
      <c r="E1907" s="244"/>
      <c r="G1907" s="352">
        <f t="shared" si="24"/>
        <v>2986262</v>
      </c>
      <c r="H1907" s="352">
        <v>2305433</v>
      </c>
    </row>
    <row r="1908" spans="1:8" ht="12.75">
      <c r="A1908" s="334" t="s">
        <v>910</v>
      </c>
      <c r="B1908" s="334" t="s">
        <v>728</v>
      </c>
      <c r="C1908" s="252"/>
      <c r="D1908" s="166" t="s">
        <v>1677</v>
      </c>
      <c r="E1908" s="244"/>
      <c r="G1908" s="352">
        <f t="shared" si="24"/>
        <v>951931</v>
      </c>
      <c r="H1908" s="352">
        <v>837144</v>
      </c>
    </row>
    <row r="1909" spans="1:8" ht="12.75">
      <c r="A1909" s="334" t="s">
        <v>910</v>
      </c>
      <c r="B1909" s="334" t="s">
        <v>1064</v>
      </c>
      <c r="C1909" s="252"/>
      <c r="D1909" s="166" t="s">
        <v>987</v>
      </c>
      <c r="E1909" s="244"/>
      <c r="G1909" s="352">
        <f aca="true" t="shared" si="25" ref="G1909:G1915">G345</f>
        <v>3601362</v>
      </c>
      <c r="H1909" s="352">
        <v>2850438.05</v>
      </c>
    </row>
    <row r="1910" spans="1:8" ht="12.75">
      <c r="A1910" s="334" t="s">
        <v>910</v>
      </c>
      <c r="B1910" s="334" t="s">
        <v>1066</v>
      </c>
      <c r="C1910" s="252"/>
      <c r="D1910" s="166" t="s">
        <v>988</v>
      </c>
      <c r="E1910" s="244"/>
      <c r="G1910" s="352">
        <f t="shared" si="25"/>
        <v>2703633</v>
      </c>
      <c r="H1910" s="352">
        <v>2057027</v>
      </c>
    </row>
    <row r="1911" spans="1:8" ht="12.75">
      <c r="A1911" s="334" t="s">
        <v>910</v>
      </c>
      <c r="B1911" s="334" t="s">
        <v>778</v>
      </c>
      <c r="C1911" s="166"/>
      <c r="D1911" s="166" t="s">
        <v>989</v>
      </c>
      <c r="E1911" s="244"/>
      <c r="G1911" s="352">
        <f t="shared" si="25"/>
        <v>1867557</v>
      </c>
      <c r="H1911" s="352">
        <v>1861424.3</v>
      </c>
    </row>
    <row r="1912" spans="1:8" ht="12.75">
      <c r="A1912" s="334" t="s">
        <v>990</v>
      </c>
      <c r="B1912" s="334" t="s">
        <v>1159</v>
      </c>
      <c r="C1912" s="166"/>
      <c r="D1912" s="166" t="s">
        <v>991</v>
      </c>
      <c r="E1912" s="244"/>
      <c r="G1912" s="352">
        <f t="shared" si="25"/>
        <v>5164702.98</v>
      </c>
      <c r="H1912" s="352">
        <v>4078275.09</v>
      </c>
    </row>
    <row r="1913" spans="1:8" ht="12.75">
      <c r="A1913" s="334" t="s">
        <v>990</v>
      </c>
      <c r="B1913" s="334" t="s">
        <v>1161</v>
      </c>
      <c r="C1913" s="166"/>
      <c r="D1913" s="166" t="s">
        <v>992</v>
      </c>
      <c r="E1913" s="244"/>
      <c r="G1913" s="352">
        <f t="shared" si="25"/>
        <v>615904.31</v>
      </c>
      <c r="H1913" s="352">
        <v>425434.36</v>
      </c>
    </row>
    <row r="1914" spans="1:8" ht="12.75">
      <c r="A1914" s="334" t="s">
        <v>990</v>
      </c>
      <c r="B1914" s="334" t="s">
        <v>1163</v>
      </c>
      <c r="C1914" s="166"/>
      <c r="D1914" s="166" t="s">
        <v>993</v>
      </c>
      <c r="E1914" s="244"/>
      <c r="G1914" s="352">
        <f t="shared" si="25"/>
        <v>3448172.44</v>
      </c>
      <c r="H1914" s="352">
        <v>2127171.77</v>
      </c>
    </row>
    <row r="1915" spans="1:8" ht="12.75">
      <c r="A1915" s="334" t="s">
        <v>990</v>
      </c>
      <c r="B1915" s="334" t="s">
        <v>1165</v>
      </c>
      <c r="C1915" s="166"/>
      <c r="D1915" s="166" t="s">
        <v>994</v>
      </c>
      <c r="E1915" s="244"/>
      <c r="G1915" s="352">
        <f t="shared" si="25"/>
        <v>4311330.2</v>
      </c>
      <c r="H1915" s="352">
        <v>2978040.48</v>
      </c>
    </row>
    <row r="1916" spans="1:8" ht="12.75">
      <c r="A1916" s="334" t="s">
        <v>990</v>
      </c>
      <c r="B1916" s="334" t="s">
        <v>1169</v>
      </c>
      <c r="C1916" s="166"/>
      <c r="D1916" s="166" t="s">
        <v>996</v>
      </c>
      <c r="E1916" s="244"/>
      <c r="G1916" s="352">
        <f>G353</f>
        <v>3329526.46</v>
      </c>
      <c r="H1916" s="352">
        <v>2127171.77</v>
      </c>
    </row>
    <row r="1917" spans="1:8" ht="12.75">
      <c r="A1917" s="334" t="s">
        <v>990</v>
      </c>
      <c r="B1917" s="334" t="s">
        <v>1</v>
      </c>
      <c r="C1917" s="166"/>
      <c r="D1917" s="166" t="s">
        <v>997</v>
      </c>
      <c r="E1917" s="244"/>
      <c r="G1917" s="352">
        <f>G354</f>
        <v>3545505.21</v>
      </c>
      <c r="H1917" s="352">
        <v>2552606.11</v>
      </c>
    </row>
    <row r="1918" spans="1:8" ht="12.75">
      <c r="A1918" s="334" t="s">
        <v>990</v>
      </c>
      <c r="B1918" s="334" t="s">
        <v>728</v>
      </c>
      <c r="C1918" s="166"/>
      <c r="D1918" s="166" t="s">
        <v>998</v>
      </c>
      <c r="E1918" s="244"/>
      <c r="G1918" s="352">
        <f>G355</f>
        <v>615904.31</v>
      </c>
      <c r="H1918" s="352">
        <v>425434.36</v>
      </c>
    </row>
    <row r="1919" spans="1:8" ht="12.75">
      <c r="A1919" s="334" t="s">
        <v>990</v>
      </c>
      <c r="B1919" s="334" t="s">
        <v>1064</v>
      </c>
      <c r="C1919" s="166"/>
      <c r="D1919" s="166" t="s">
        <v>129</v>
      </c>
      <c r="E1919" s="244"/>
      <c r="G1919" s="352">
        <f aca="true" t="shared" si="26" ref="G1919:G1935">G370</f>
        <v>45193106.37</v>
      </c>
      <c r="H1919" s="352">
        <v>116923216.43999998</v>
      </c>
    </row>
    <row r="1920" spans="1:8" ht="12.75">
      <c r="A1920" s="334" t="s">
        <v>990</v>
      </c>
      <c r="B1920" s="334" t="s">
        <v>1066</v>
      </c>
      <c r="C1920" s="166"/>
      <c r="D1920" s="166" t="s">
        <v>130</v>
      </c>
      <c r="E1920" s="244"/>
      <c r="G1920" s="352">
        <f t="shared" si="26"/>
        <v>3695425.9</v>
      </c>
      <c r="H1920" s="352">
        <v>2604606.11</v>
      </c>
    </row>
    <row r="1921" spans="1:8" ht="12.75">
      <c r="A1921" s="334" t="s">
        <v>990</v>
      </c>
      <c r="B1921" s="334" t="s">
        <v>778</v>
      </c>
      <c r="C1921" s="166"/>
      <c r="D1921" s="166" t="s">
        <v>131</v>
      </c>
      <c r="E1921" s="244"/>
      <c r="G1921" s="352">
        <f t="shared" si="26"/>
        <v>6319368.46</v>
      </c>
      <c r="H1921" s="352">
        <v>1701737.4</v>
      </c>
    </row>
    <row r="1922" spans="1:8" ht="12.75">
      <c r="A1922" s="334" t="s">
        <v>132</v>
      </c>
      <c r="B1922" s="334" t="s">
        <v>1064</v>
      </c>
      <c r="C1922" s="166"/>
      <c r="D1922" s="166" t="s">
        <v>133</v>
      </c>
      <c r="E1922" s="244"/>
      <c r="G1922" s="352">
        <f t="shared" si="26"/>
        <v>59848484</v>
      </c>
      <c r="H1922" s="352">
        <v>3857981</v>
      </c>
    </row>
    <row r="1923" spans="1:8" ht="12.75">
      <c r="A1923" s="334" t="s">
        <v>134</v>
      </c>
      <c r="B1923" s="334" t="s">
        <v>1064</v>
      </c>
      <c r="C1923" s="166"/>
      <c r="D1923" s="166" t="s">
        <v>135</v>
      </c>
      <c r="E1923" s="244"/>
      <c r="G1923" s="352">
        <f t="shared" si="26"/>
        <v>3447500</v>
      </c>
      <c r="H1923" s="352">
        <v>6445500</v>
      </c>
    </row>
    <row r="1924" spans="1:8" ht="12.75">
      <c r="A1924" s="334" t="s">
        <v>136</v>
      </c>
      <c r="B1924" s="334" t="s">
        <v>1064</v>
      </c>
      <c r="C1924" s="166"/>
      <c r="D1924" s="166" t="s">
        <v>137</v>
      </c>
      <c r="E1924" s="244"/>
      <c r="G1924" s="352">
        <f t="shared" si="26"/>
        <v>150614704</v>
      </c>
      <c r="H1924" s="352">
        <v>256912195</v>
      </c>
    </row>
    <row r="1925" spans="1:8" ht="12.75">
      <c r="A1925" s="334" t="s">
        <v>138</v>
      </c>
      <c r="B1925" s="334" t="s">
        <v>1064</v>
      </c>
      <c r="C1925" s="166"/>
      <c r="D1925" s="166" t="s">
        <v>139</v>
      </c>
      <c r="E1925" s="244"/>
      <c r="F1925" s="244"/>
      <c r="G1925" s="352">
        <f t="shared" si="26"/>
        <v>228584421</v>
      </c>
      <c r="H1925" s="352">
        <v>228034411</v>
      </c>
    </row>
    <row r="1926" spans="1:8" ht="12.75">
      <c r="A1926" s="334" t="s">
        <v>140</v>
      </c>
      <c r="B1926" s="334" t="s">
        <v>1066</v>
      </c>
      <c r="C1926" s="166"/>
      <c r="D1926" s="166" t="s">
        <v>141</v>
      </c>
      <c r="E1926" s="244"/>
      <c r="G1926" s="352">
        <f t="shared" si="26"/>
        <v>2347265</v>
      </c>
      <c r="H1926" s="352">
        <v>2190393</v>
      </c>
    </row>
    <row r="1927" spans="1:8" ht="12.75">
      <c r="A1927" s="334" t="s">
        <v>142</v>
      </c>
      <c r="B1927" s="334" t="s">
        <v>1064</v>
      </c>
      <c r="C1927" s="166"/>
      <c r="D1927" s="166" t="s">
        <v>143</v>
      </c>
      <c r="E1927" s="244"/>
      <c r="G1927" s="352">
        <f t="shared" si="26"/>
        <v>47255845</v>
      </c>
      <c r="H1927" s="352">
        <v>48886780</v>
      </c>
    </row>
    <row r="1928" spans="1:8" ht="12.75">
      <c r="A1928" s="334" t="s">
        <v>144</v>
      </c>
      <c r="B1928" s="334" t="s">
        <v>1159</v>
      </c>
      <c r="C1928" s="166"/>
      <c r="D1928" s="166" t="s">
        <v>145</v>
      </c>
      <c r="E1928" s="244"/>
      <c r="G1928" s="352">
        <f t="shared" si="26"/>
        <v>21995076.49</v>
      </c>
      <c r="H1928" s="352">
        <v>152304542.84999996</v>
      </c>
    </row>
    <row r="1929" spans="1:8" ht="12.75">
      <c r="A1929" s="334" t="s">
        <v>144</v>
      </c>
      <c r="B1929" s="334" t="s">
        <v>1161</v>
      </c>
      <c r="C1929" s="166"/>
      <c r="D1929" s="166" t="s">
        <v>146</v>
      </c>
      <c r="E1929" s="244"/>
      <c r="G1929" s="352">
        <f t="shared" si="26"/>
        <v>5145694.82</v>
      </c>
      <c r="H1929" s="352">
        <v>6674510.349999999</v>
      </c>
    </row>
    <row r="1930" spans="1:8" ht="12.75">
      <c r="A1930" s="334" t="s">
        <v>144</v>
      </c>
      <c r="B1930" s="334" t="s">
        <v>1163</v>
      </c>
      <c r="C1930" s="166"/>
      <c r="D1930" s="166" t="s">
        <v>147</v>
      </c>
      <c r="E1930" s="244"/>
      <c r="G1930" s="352">
        <f t="shared" si="26"/>
        <v>6561214</v>
      </c>
      <c r="H1930" s="352">
        <v>3308472</v>
      </c>
    </row>
    <row r="1931" spans="1:8" ht="12.75">
      <c r="A1931" s="334" t="s">
        <v>144</v>
      </c>
      <c r="B1931" s="334" t="s">
        <v>1165</v>
      </c>
      <c r="C1931" s="252"/>
      <c r="D1931" s="166" t="s">
        <v>148</v>
      </c>
      <c r="E1931" s="244"/>
      <c r="G1931" s="352">
        <f t="shared" si="26"/>
        <v>8892548</v>
      </c>
      <c r="H1931" s="352">
        <v>5250000</v>
      </c>
    </row>
    <row r="1932" spans="1:8" ht="12.75">
      <c r="A1932" s="334" t="s">
        <v>144</v>
      </c>
      <c r="B1932" s="334" t="s">
        <v>1167</v>
      </c>
      <c r="C1932" s="252"/>
      <c r="D1932" s="166" t="s">
        <v>149</v>
      </c>
      <c r="E1932" s="244"/>
      <c r="G1932" s="352">
        <f t="shared" si="26"/>
        <v>776309.61</v>
      </c>
      <c r="H1932" s="352">
        <v>0</v>
      </c>
    </row>
    <row r="1933" spans="1:8" ht="12.75">
      <c r="A1933" s="334" t="s">
        <v>144</v>
      </c>
      <c r="B1933" s="334" t="s">
        <v>1169</v>
      </c>
      <c r="C1933" s="252"/>
      <c r="D1933" s="166" t="s">
        <v>150</v>
      </c>
      <c r="E1933" s="244"/>
      <c r="G1933" s="352">
        <f t="shared" si="26"/>
        <v>6259592.69</v>
      </c>
      <c r="H1933" s="352">
        <v>4566537.21</v>
      </c>
    </row>
    <row r="1934" spans="1:8" ht="12.75">
      <c r="A1934" s="334" t="s">
        <v>144</v>
      </c>
      <c r="B1934" s="334" t="s">
        <v>1</v>
      </c>
      <c r="C1934" s="252"/>
      <c r="D1934" s="166" t="s">
        <v>151</v>
      </c>
      <c r="E1934" s="244"/>
      <c r="G1934" s="352">
        <f t="shared" si="26"/>
        <v>5318577.66</v>
      </c>
      <c r="H1934" s="352">
        <v>3106912.11</v>
      </c>
    </row>
    <row r="1935" spans="1:8" ht="12.75">
      <c r="A1935" s="334" t="s">
        <v>144</v>
      </c>
      <c r="B1935" s="334" t="s">
        <v>728</v>
      </c>
      <c r="C1935" s="252"/>
      <c r="D1935" s="166" t="s">
        <v>152</v>
      </c>
      <c r="E1935" s="244"/>
      <c r="G1935" s="352">
        <f t="shared" si="26"/>
        <v>1699728</v>
      </c>
      <c r="H1935" s="352">
        <v>1924617.17</v>
      </c>
    </row>
    <row r="1936" spans="1:8" ht="12.75">
      <c r="A1936" s="334" t="s">
        <v>144</v>
      </c>
      <c r="B1936" s="334" t="s">
        <v>1064</v>
      </c>
      <c r="C1936" s="252"/>
      <c r="D1936" s="166" t="s">
        <v>832</v>
      </c>
      <c r="E1936" s="244"/>
      <c r="G1936" s="352">
        <f>G407</f>
        <v>8827586</v>
      </c>
      <c r="H1936" s="352">
        <v>12856655.530000001</v>
      </c>
    </row>
    <row r="1937" spans="1:8" ht="12.75">
      <c r="A1937" s="334" t="s">
        <v>144</v>
      </c>
      <c r="B1937" s="334" t="s">
        <v>1066</v>
      </c>
      <c r="C1937" s="252"/>
      <c r="D1937" s="166" t="s">
        <v>833</v>
      </c>
      <c r="E1937" s="244"/>
      <c r="G1937" s="352">
        <f>G408</f>
        <v>5154962.66</v>
      </c>
      <c r="H1937" s="352">
        <v>2834247.04</v>
      </c>
    </row>
    <row r="1938" spans="1:8" ht="12.75">
      <c r="A1938" s="334" t="s">
        <v>144</v>
      </c>
      <c r="B1938" s="334" t="s">
        <v>778</v>
      </c>
      <c r="C1938" s="252"/>
      <c r="D1938" s="166" t="s">
        <v>834</v>
      </c>
      <c r="E1938" s="244"/>
      <c r="G1938" s="352">
        <f>G409</f>
        <v>4786363.54</v>
      </c>
      <c r="H1938" s="352">
        <v>4261304.09</v>
      </c>
    </row>
    <row r="1939" spans="1:8" ht="12.75">
      <c r="A1939" s="334" t="s">
        <v>1396</v>
      </c>
      <c r="B1939" s="334" t="s">
        <v>1064</v>
      </c>
      <c r="C1939" s="252"/>
      <c r="D1939" s="166" t="s">
        <v>1397</v>
      </c>
      <c r="E1939" s="244"/>
      <c r="G1939" s="352">
        <f>G411</f>
        <v>0</v>
      </c>
      <c r="H1939" s="352">
        <v>0</v>
      </c>
    </row>
    <row r="1940" spans="2:8" ht="12.75">
      <c r="B1940" s="166"/>
      <c r="C1940" s="224"/>
      <c r="D1940" s="236" t="s">
        <v>943</v>
      </c>
      <c r="E1940" s="236"/>
      <c r="F1940" s="225"/>
      <c r="G1940" s="358">
        <f>SUM(G1855:G1939)</f>
        <v>1443000415.2700002</v>
      </c>
      <c r="H1940" s="358">
        <f>SUM(H1855:H1939)</f>
        <v>2073274991.3899994</v>
      </c>
    </row>
    <row r="1941" spans="2:8" ht="12.75">
      <c r="B1941" s="166"/>
      <c r="C1941" s="245"/>
      <c r="D1941" s="244"/>
      <c r="E1941" s="244"/>
      <c r="G1941" s="352"/>
      <c r="H1941" s="352"/>
    </row>
    <row r="1942" spans="2:8" ht="12.75">
      <c r="B1942" s="341"/>
      <c r="C1942" s="221">
        <v>307500</v>
      </c>
      <c r="D1942" s="222" t="s">
        <v>557</v>
      </c>
      <c r="E1942" s="244"/>
      <c r="G1942" s="352"/>
      <c r="H1942" s="352"/>
    </row>
    <row r="1943" spans="1:8" ht="12.75">
      <c r="A1943" s="334" t="s">
        <v>491</v>
      </c>
      <c r="B1943" s="334" t="s">
        <v>1161</v>
      </c>
      <c r="C1943" s="252"/>
      <c r="D1943" s="166" t="s">
        <v>492</v>
      </c>
      <c r="E1943" s="244"/>
      <c r="G1943" s="352">
        <f>G545</f>
        <v>381364258</v>
      </c>
      <c r="H1943" s="352">
        <v>242655115</v>
      </c>
    </row>
    <row r="1944" spans="2:8" ht="12.75">
      <c r="B1944" s="166"/>
      <c r="C1944" s="224"/>
      <c r="D1944" s="236" t="s">
        <v>943</v>
      </c>
      <c r="E1944" s="236"/>
      <c r="F1944" s="225"/>
      <c r="G1944" s="358">
        <f>SUM(G1943)</f>
        <v>381364258</v>
      </c>
      <c r="H1944" s="358">
        <f>SUM(H1943)</f>
        <v>242655115</v>
      </c>
    </row>
    <row r="1945" spans="2:8" ht="12.75">
      <c r="B1945" s="166"/>
      <c r="C1945" s="245"/>
      <c r="D1945" s="244"/>
      <c r="E1945" s="244"/>
      <c r="G1945" s="352"/>
      <c r="H1945" s="352"/>
    </row>
    <row r="1946" spans="2:8" ht="12.75">
      <c r="B1946" s="341"/>
      <c r="C1946" s="221">
        <v>307510</v>
      </c>
      <c r="D1946" s="222" t="s">
        <v>396</v>
      </c>
      <c r="E1946" s="244"/>
      <c r="G1946" s="352"/>
      <c r="H1946" s="352"/>
    </row>
    <row r="1947" spans="1:8" ht="12.75">
      <c r="A1947" s="334" t="s">
        <v>1398</v>
      </c>
      <c r="B1947" s="334" t="s">
        <v>1165</v>
      </c>
      <c r="C1947" s="252"/>
      <c r="D1947" s="166" t="s">
        <v>839</v>
      </c>
      <c r="E1947" s="244"/>
      <c r="G1947" s="352">
        <f>G419</f>
        <v>17851460</v>
      </c>
      <c r="H1947" s="352">
        <v>47042316.67</v>
      </c>
    </row>
    <row r="1948" spans="1:8" ht="12.75">
      <c r="A1948" s="334" t="s">
        <v>57</v>
      </c>
      <c r="B1948" s="334" t="s">
        <v>1161</v>
      </c>
      <c r="C1948" s="252"/>
      <c r="D1948" s="166" t="s">
        <v>707</v>
      </c>
      <c r="E1948" s="244"/>
      <c r="G1948" s="352">
        <f>G547</f>
        <v>64873704</v>
      </c>
      <c r="H1948" s="352">
        <v>28659119</v>
      </c>
    </row>
    <row r="1949" spans="2:8" ht="12.75">
      <c r="B1949" s="166"/>
      <c r="C1949" s="224"/>
      <c r="D1949" s="236" t="s">
        <v>943</v>
      </c>
      <c r="E1949" s="236"/>
      <c r="F1949" s="225"/>
      <c r="G1949" s="358">
        <f>SUM(G1947:G1948)</f>
        <v>82725164</v>
      </c>
      <c r="H1949" s="358">
        <f>SUM(H1947:H1948)</f>
        <v>75701435.67</v>
      </c>
    </row>
    <row r="1950" spans="2:8" ht="12.75">
      <c r="B1950" s="166"/>
      <c r="C1950" s="245"/>
      <c r="D1950" s="244"/>
      <c r="E1950" s="244"/>
      <c r="G1950" s="352"/>
      <c r="H1950" s="352"/>
    </row>
    <row r="1951" spans="2:8" ht="12.75">
      <c r="B1951" s="341"/>
      <c r="C1951" s="221">
        <v>307520</v>
      </c>
      <c r="D1951" s="222" t="s">
        <v>397</v>
      </c>
      <c r="E1951" s="244"/>
      <c r="G1951" s="352"/>
      <c r="H1951" s="352"/>
    </row>
    <row r="1952" ht="12.75">
      <c r="H1952" s="352">
        <v>0</v>
      </c>
    </row>
    <row r="1953" spans="1:8" ht="12.75">
      <c r="A1953" s="334" t="s">
        <v>1398</v>
      </c>
      <c r="B1953" s="334" t="s">
        <v>1159</v>
      </c>
      <c r="C1953" s="252"/>
      <c r="D1953" s="166" t="s">
        <v>1399</v>
      </c>
      <c r="E1953" s="244"/>
      <c r="G1953" s="352">
        <f>G415</f>
        <v>21945938.35</v>
      </c>
      <c r="H1953" s="352">
        <v>30919867.85</v>
      </c>
    </row>
    <row r="1954" spans="1:8" ht="12.75">
      <c r="A1954" s="334" t="s">
        <v>1398</v>
      </c>
      <c r="B1954" s="334" t="s">
        <v>1400</v>
      </c>
      <c r="C1954" s="252"/>
      <c r="D1954" s="166" t="s">
        <v>1401</v>
      </c>
      <c r="E1954" s="244"/>
      <c r="G1954" s="352">
        <f>G416</f>
        <v>3217801.17</v>
      </c>
      <c r="H1954" s="352">
        <v>10292845</v>
      </c>
    </row>
    <row r="1955" spans="1:8" ht="12.75">
      <c r="A1955" s="334" t="s">
        <v>1398</v>
      </c>
      <c r="B1955" s="334" t="s">
        <v>1402</v>
      </c>
      <c r="C1955" s="252"/>
      <c r="D1955" s="166" t="s">
        <v>1403</v>
      </c>
      <c r="E1955" s="244"/>
      <c r="G1955" s="352">
        <f>G417</f>
        <v>21235495.63</v>
      </c>
      <c r="H1955" s="352">
        <v>16836865.36</v>
      </c>
    </row>
    <row r="1956" spans="1:8" ht="12.75">
      <c r="A1956" s="334" t="s">
        <v>1398</v>
      </c>
      <c r="B1956" s="334" t="s">
        <v>1161</v>
      </c>
      <c r="C1956" s="252"/>
      <c r="D1956" s="166" t="s">
        <v>1404</v>
      </c>
      <c r="E1956" s="244"/>
      <c r="G1956" s="352">
        <f>G418</f>
        <v>15000000</v>
      </c>
      <c r="H1956" s="352">
        <v>53436135.67999999</v>
      </c>
    </row>
    <row r="1957" spans="1:8" ht="12.75">
      <c r="A1957" s="334" t="s">
        <v>1398</v>
      </c>
      <c r="B1957" s="334" t="s">
        <v>1064</v>
      </c>
      <c r="C1957" s="252"/>
      <c r="D1957" s="166" t="s">
        <v>846</v>
      </c>
      <c r="E1957" s="244"/>
      <c r="G1957" s="352">
        <f>G425</f>
        <v>2416000</v>
      </c>
      <c r="H1957" s="352">
        <v>1836286.82</v>
      </c>
    </row>
    <row r="1958" spans="1:8" ht="12.75">
      <c r="A1958" s="334" t="s">
        <v>714</v>
      </c>
      <c r="B1958" s="334" t="s">
        <v>1159</v>
      </c>
      <c r="C1958" s="252"/>
      <c r="D1958" s="166" t="s">
        <v>715</v>
      </c>
      <c r="E1958" s="244"/>
      <c r="G1958" s="352">
        <f>G552</f>
        <v>305369795.76</v>
      </c>
      <c r="H1958" s="352">
        <v>220067298.5</v>
      </c>
    </row>
    <row r="1959" spans="1:8" ht="12.75">
      <c r="A1959" s="334" t="s">
        <v>714</v>
      </c>
      <c r="B1959" s="334" t="s">
        <v>1064</v>
      </c>
      <c r="C1959" s="166"/>
      <c r="D1959" s="166" t="s">
        <v>716</v>
      </c>
      <c r="E1959" s="244"/>
      <c r="G1959" s="352">
        <f>G553</f>
        <v>44975000</v>
      </c>
      <c r="H1959" s="352">
        <v>38210740</v>
      </c>
    </row>
    <row r="1961" spans="2:8" ht="12.75">
      <c r="B1961" s="166"/>
      <c r="C1961" s="345"/>
      <c r="D1961" s="236" t="s">
        <v>943</v>
      </c>
      <c r="E1961" s="236"/>
      <c r="F1961" s="236"/>
      <c r="G1961" s="358">
        <f>SUM(G1953:G1959)</f>
        <v>414160030.90999997</v>
      </c>
      <c r="H1961" s="358">
        <f>SUM(H1952:H1959)</f>
        <v>371600039.21</v>
      </c>
    </row>
    <row r="1962" spans="5:8" ht="12.75">
      <c r="E1962" s="244"/>
      <c r="G1962" s="352"/>
      <c r="H1962" s="352"/>
    </row>
    <row r="1963" spans="2:8" ht="12.75">
      <c r="B1963" s="166"/>
      <c r="C1963" s="245"/>
      <c r="E1963" s="222"/>
      <c r="G1963" s="353"/>
      <c r="H1963" s="352"/>
    </row>
    <row r="1964" spans="2:8" ht="12.75">
      <c r="B1964" s="341"/>
      <c r="C1964" s="221">
        <v>307530</v>
      </c>
      <c r="D1964" s="222" t="s">
        <v>398</v>
      </c>
      <c r="E1964" s="244"/>
      <c r="G1964" s="352"/>
      <c r="H1964" s="352"/>
    </row>
    <row r="1965" spans="1:8" ht="12.75">
      <c r="A1965" s="334" t="s">
        <v>847</v>
      </c>
      <c r="B1965" s="334" t="s">
        <v>1159</v>
      </c>
      <c r="C1965" s="252"/>
      <c r="D1965" s="166" t="s">
        <v>848</v>
      </c>
      <c r="E1965" s="244"/>
      <c r="G1965" s="352">
        <f>G426</f>
        <v>165598718.03</v>
      </c>
      <c r="H1965" s="352">
        <v>145256511.83</v>
      </c>
    </row>
    <row r="1966" spans="1:8" ht="12.75">
      <c r="A1966" s="334" t="s">
        <v>847</v>
      </c>
      <c r="B1966" s="334" t="s">
        <v>1167</v>
      </c>
      <c r="C1966" s="252"/>
      <c r="D1966" s="166" t="s">
        <v>849</v>
      </c>
      <c r="E1966" s="244"/>
      <c r="G1966" s="352">
        <f>G427</f>
        <v>0</v>
      </c>
      <c r="H1966" s="349">
        <v>547500</v>
      </c>
    </row>
    <row r="1967" spans="1:8" ht="12.75">
      <c r="A1967" s="334" t="s">
        <v>847</v>
      </c>
      <c r="B1967" s="334" t="s">
        <v>778</v>
      </c>
      <c r="C1967" s="252"/>
      <c r="D1967" s="166" t="s">
        <v>855</v>
      </c>
      <c r="E1967" s="244"/>
      <c r="G1967" s="352">
        <f>G433</f>
        <v>167544200</v>
      </c>
      <c r="H1967" s="349">
        <v>216513248.69</v>
      </c>
    </row>
    <row r="1968" spans="1:8" ht="12.75">
      <c r="A1968" s="334" t="s">
        <v>702</v>
      </c>
      <c r="B1968" s="334" t="s">
        <v>1064</v>
      </c>
      <c r="C1968" s="252"/>
      <c r="D1968" s="166" t="s">
        <v>703</v>
      </c>
      <c r="E1968" s="244"/>
      <c r="G1968" s="352">
        <f>G558</f>
        <v>31161129</v>
      </c>
      <c r="H1968" s="352">
        <v>30460815</v>
      </c>
    </row>
    <row r="1969" spans="2:8" ht="12.75">
      <c r="B1969" s="166"/>
      <c r="C1969" s="345"/>
      <c r="D1969" s="236" t="s">
        <v>943</v>
      </c>
      <c r="E1969" s="236"/>
      <c r="F1969" s="236"/>
      <c r="G1969" s="358">
        <f>SUM(G1965:G1968)</f>
        <v>364304047.03</v>
      </c>
      <c r="H1969" s="358">
        <f>SUM(H1965:H1968)</f>
        <v>392778075.52</v>
      </c>
    </row>
    <row r="1970" spans="2:8" ht="12.75">
      <c r="B1970" s="166"/>
      <c r="C1970" s="245"/>
      <c r="D1970" s="244"/>
      <c r="E1970" s="244"/>
      <c r="G1970" s="352"/>
      <c r="H1970" s="352"/>
    </row>
    <row r="1971" spans="5:8" ht="12.75">
      <c r="E1971" s="244"/>
      <c r="G1971" s="352"/>
      <c r="H1971" s="352"/>
    </row>
    <row r="1972" spans="2:8" ht="12.75">
      <c r="B1972" s="341"/>
      <c r="C1972" s="221">
        <v>307540</v>
      </c>
      <c r="D1972" s="222" t="s">
        <v>1087</v>
      </c>
      <c r="E1972" s="244"/>
      <c r="G1972" s="353"/>
      <c r="H1972" s="352"/>
    </row>
    <row r="1973" spans="1:8" ht="12.75">
      <c r="A1973" s="334" t="s">
        <v>835</v>
      </c>
      <c r="B1973" s="334" t="s">
        <v>778</v>
      </c>
      <c r="C1973" s="252"/>
      <c r="D1973" s="166" t="s">
        <v>1395</v>
      </c>
      <c r="E1973" s="244"/>
      <c r="G1973" s="352">
        <f>G413</f>
        <v>0</v>
      </c>
      <c r="H1973" s="352">
        <v>50000</v>
      </c>
    </row>
    <row r="1974" spans="1:8" ht="12.75">
      <c r="A1974" s="334" t="s">
        <v>863</v>
      </c>
      <c r="B1974" s="334" t="s">
        <v>1159</v>
      </c>
      <c r="C1974" s="166"/>
      <c r="D1974" s="166" t="s">
        <v>864</v>
      </c>
      <c r="E1974" s="244"/>
      <c r="G1974" s="352">
        <f aca="true" t="shared" si="27" ref="G1974:G1981">G440</f>
        <v>16986731.91</v>
      </c>
      <c r="H1974" s="352">
        <v>4037948.2</v>
      </c>
    </row>
    <row r="1975" spans="1:8" ht="12.75">
      <c r="A1975" s="334" t="s">
        <v>863</v>
      </c>
      <c r="B1975" s="334" t="s">
        <v>1161</v>
      </c>
      <c r="C1975" s="166"/>
      <c r="D1975" s="166" t="s">
        <v>865</v>
      </c>
      <c r="E1975" s="244"/>
      <c r="G1975" s="352">
        <f t="shared" si="27"/>
        <v>7817230.71</v>
      </c>
      <c r="H1975" s="352">
        <v>8722043.000000002</v>
      </c>
    </row>
    <row r="1976" spans="1:8" ht="12.75">
      <c r="A1976" s="334" t="s">
        <v>863</v>
      </c>
      <c r="B1976" s="334" t="s">
        <v>1163</v>
      </c>
      <c r="C1976" s="166"/>
      <c r="D1976" s="166" t="s">
        <v>866</v>
      </c>
      <c r="E1976" s="244"/>
      <c r="G1976" s="352">
        <f t="shared" si="27"/>
        <v>0</v>
      </c>
      <c r="H1976" s="352">
        <v>0</v>
      </c>
    </row>
    <row r="1977" spans="1:8" ht="12.75">
      <c r="A1977" s="334" t="s">
        <v>863</v>
      </c>
      <c r="B1977" s="334" t="s">
        <v>1165</v>
      </c>
      <c r="C1977" s="166"/>
      <c r="D1977" s="166" t="s">
        <v>867</v>
      </c>
      <c r="E1977" s="244"/>
      <c r="G1977" s="352">
        <f t="shared" si="27"/>
        <v>0</v>
      </c>
      <c r="H1977" s="352">
        <v>0</v>
      </c>
    </row>
    <row r="1978" spans="1:8" ht="12.75">
      <c r="A1978" s="334" t="s">
        <v>863</v>
      </c>
      <c r="B1978" s="334" t="s">
        <v>1167</v>
      </c>
      <c r="C1978" s="166"/>
      <c r="D1978" s="166" t="s">
        <v>868</v>
      </c>
      <c r="E1978" s="244"/>
      <c r="G1978" s="352">
        <f t="shared" si="27"/>
        <v>6548001.88</v>
      </c>
      <c r="H1978" s="349">
        <v>5480070.510000001</v>
      </c>
    </row>
    <row r="1979" spans="1:8" ht="12.75">
      <c r="A1979" s="334" t="s">
        <v>863</v>
      </c>
      <c r="B1979" s="334" t="s">
        <v>1169</v>
      </c>
      <c r="C1979" s="166"/>
      <c r="D1979" s="166" t="s">
        <v>869</v>
      </c>
      <c r="E1979" s="244"/>
      <c r="G1979" s="352">
        <f t="shared" si="27"/>
        <v>0</v>
      </c>
      <c r="H1979" s="352">
        <v>45000</v>
      </c>
    </row>
    <row r="1980" spans="1:8" ht="12.75">
      <c r="A1980" s="334" t="s">
        <v>863</v>
      </c>
      <c r="B1980" s="334" t="s">
        <v>1</v>
      </c>
      <c r="C1980" s="252"/>
      <c r="D1980" s="166" t="s">
        <v>870</v>
      </c>
      <c r="E1980" s="244"/>
      <c r="G1980" s="352">
        <f t="shared" si="27"/>
        <v>395455.55</v>
      </c>
      <c r="H1980" s="352">
        <v>0</v>
      </c>
    </row>
    <row r="1981" spans="1:8" ht="12.75">
      <c r="A1981" s="334" t="s">
        <v>863</v>
      </c>
      <c r="B1981" s="334" t="s">
        <v>728</v>
      </c>
      <c r="C1981" s="252"/>
      <c r="D1981" s="166" t="s">
        <v>871</v>
      </c>
      <c r="E1981" s="244"/>
      <c r="G1981" s="352">
        <f t="shared" si="27"/>
        <v>0</v>
      </c>
      <c r="H1981" s="352">
        <v>0</v>
      </c>
    </row>
    <row r="1982" spans="1:8" ht="12.75">
      <c r="A1982" s="334" t="s">
        <v>863</v>
      </c>
      <c r="B1982" s="334" t="s">
        <v>1064</v>
      </c>
      <c r="C1982" s="252"/>
      <c r="D1982" s="166" t="s">
        <v>944</v>
      </c>
      <c r="E1982" s="244"/>
      <c r="G1982" s="352">
        <f aca="true" t="shared" si="28" ref="G1982:G1992">G468</f>
        <v>2698623.43</v>
      </c>
      <c r="H1982" s="352">
        <v>1429593.9</v>
      </c>
    </row>
    <row r="1983" spans="1:8" ht="12.75">
      <c r="A1983" s="334" t="s">
        <v>863</v>
      </c>
      <c r="B1983" s="334" t="s">
        <v>1066</v>
      </c>
      <c r="C1983" s="166"/>
      <c r="D1983" s="166" t="s">
        <v>945</v>
      </c>
      <c r="E1983" s="244"/>
      <c r="G1983" s="352">
        <f t="shared" si="28"/>
        <v>88801.8</v>
      </c>
      <c r="H1983" s="352">
        <v>0</v>
      </c>
    </row>
    <row r="1984" spans="1:8" ht="12.75">
      <c r="A1984" s="334" t="s">
        <v>863</v>
      </c>
      <c r="B1984" s="334" t="s">
        <v>778</v>
      </c>
      <c r="C1984" s="252"/>
      <c r="D1984" s="166" t="s">
        <v>946</v>
      </c>
      <c r="E1984" s="244"/>
      <c r="G1984" s="352">
        <f t="shared" si="28"/>
        <v>196287.06</v>
      </c>
      <c r="H1984" s="352">
        <v>205246.23</v>
      </c>
    </row>
    <row r="1985" spans="1:8" ht="12.75">
      <c r="A1985" s="334" t="s">
        <v>947</v>
      </c>
      <c r="B1985" s="334" t="s">
        <v>1159</v>
      </c>
      <c r="C1985" s="166"/>
      <c r="D1985" s="166" t="s">
        <v>948</v>
      </c>
      <c r="E1985" s="244"/>
      <c r="G1985" s="352">
        <f t="shared" si="28"/>
        <v>75483353.39</v>
      </c>
      <c r="H1985" s="352">
        <v>39625739.85</v>
      </c>
    </row>
    <row r="1986" spans="1:8" ht="12.75">
      <c r="A1986" s="334" t="s">
        <v>947</v>
      </c>
      <c r="B1986" s="334" t="s">
        <v>1161</v>
      </c>
      <c r="C1986" s="166"/>
      <c r="D1986" s="166" t="s">
        <v>611</v>
      </c>
      <c r="E1986" s="244"/>
      <c r="G1986" s="352">
        <f t="shared" si="28"/>
        <v>3678749.46</v>
      </c>
      <c r="H1986" s="352">
        <v>3774280.96</v>
      </c>
    </row>
    <row r="1987" spans="1:8" ht="12.75">
      <c r="A1987" s="334" t="s">
        <v>947</v>
      </c>
      <c r="B1987" s="334" t="s">
        <v>1163</v>
      </c>
      <c r="C1987" s="166"/>
      <c r="D1987" s="166" t="s">
        <v>612</v>
      </c>
      <c r="E1987" s="244"/>
      <c r="G1987" s="352">
        <f t="shared" si="28"/>
        <v>799466.7</v>
      </c>
      <c r="H1987" s="353">
        <v>564833.32</v>
      </c>
    </row>
    <row r="1988" spans="1:8" ht="12.75">
      <c r="A1988" s="334" t="s">
        <v>947</v>
      </c>
      <c r="B1988" s="334" t="s">
        <v>1165</v>
      </c>
      <c r="C1988" s="166"/>
      <c r="D1988" s="166" t="s">
        <v>613</v>
      </c>
      <c r="E1988" s="244"/>
      <c r="G1988" s="352">
        <f t="shared" si="28"/>
        <v>1071869.97</v>
      </c>
      <c r="H1988" s="352">
        <v>847871.54</v>
      </c>
    </row>
    <row r="1989" spans="1:8" ht="12.75">
      <c r="A1989" s="334" t="s">
        <v>947</v>
      </c>
      <c r="B1989" s="334" t="s">
        <v>1167</v>
      </c>
      <c r="C1989" s="166"/>
      <c r="D1989" s="166" t="s">
        <v>614</v>
      </c>
      <c r="E1989" s="244"/>
      <c r="G1989" s="352">
        <f t="shared" si="28"/>
        <v>7456504.85</v>
      </c>
      <c r="H1989" s="352">
        <v>3277022.45</v>
      </c>
    </row>
    <row r="1990" spans="1:8" ht="12.75">
      <c r="A1990" s="334" t="s">
        <v>947</v>
      </c>
      <c r="B1990" s="334" t="s">
        <v>1169</v>
      </c>
      <c r="C1990" s="166"/>
      <c r="D1990" s="166" t="s">
        <v>615</v>
      </c>
      <c r="E1990" s="244"/>
      <c r="G1990" s="352">
        <f t="shared" si="28"/>
        <v>1747134.17</v>
      </c>
      <c r="H1990" s="352">
        <v>1879241.67</v>
      </c>
    </row>
    <row r="1991" spans="1:8" ht="12.75">
      <c r="A1991" s="334" t="s">
        <v>947</v>
      </c>
      <c r="B1991" s="334" t="s">
        <v>1</v>
      </c>
      <c r="C1991" s="252"/>
      <c r="D1991" s="166" t="s">
        <v>616</v>
      </c>
      <c r="E1991" s="244"/>
      <c r="G1991" s="352">
        <f t="shared" si="28"/>
        <v>2366543.22</v>
      </c>
      <c r="H1991" s="352">
        <v>1756458.33</v>
      </c>
    </row>
    <row r="1992" spans="1:8" ht="12.75">
      <c r="A1992" s="334" t="s">
        <v>947</v>
      </c>
      <c r="B1992" s="334" t="s">
        <v>728</v>
      </c>
      <c r="C1992" s="252"/>
      <c r="D1992" s="166" t="s">
        <v>617</v>
      </c>
      <c r="E1992" s="244"/>
      <c r="G1992" s="352">
        <f t="shared" si="28"/>
        <v>856012.75</v>
      </c>
      <c r="H1992" s="352">
        <v>480525.01</v>
      </c>
    </row>
    <row r="1993" spans="1:8" ht="12.75">
      <c r="A1993" s="334" t="s">
        <v>947</v>
      </c>
      <c r="B1993" s="334" t="s">
        <v>1064</v>
      </c>
      <c r="C1993" s="252"/>
      <c r="D1993" s="166" t="s">
        <v>19</v>
      </c>
      <c r="E1993" s="244"/>
      <c r="G1993" s="352">
        <f aca="true" t="shared" si="29" ref="G1993:G2003">G500</f>
        <v>13312677.58</v>
      </c>
      <c r="H1993" s="352">
        <v>10562863.47</v>
      </c>
    </row>
    <row r="1994" spans="1:8" ht="12.75">
      <c r="A1994" s="334" t="s">
        <v>947</v>
      </c>
      <c r="B1994" s="334" t="s">
        <v>1066</v>
      </c>
      <c r="C1994" s="166"/>
      <c r="D1994" s="166" t="s">
        <v>20</v>
      </c>
      <c r="E1994" s="244"/>
      <c r="G1994" s="352">
        <f t="shared" si="29"/>
        <v>1491534.58</v>
      </c>
      <c r="H1994" s="352">
        <v>358091.66</v>
      </c>
    </row>
    <row r="1995" spans="1:8" ht="12.75">
      <c r="A1995" s="334" t="s">
        <v>947</v>
      </c>
      <c r="B1995" s="334" t="s">
        <v>778</v>
      </c>
      <c r="C1995" s="252"/>
      <c r="D1995" s="166" t="s">
        <v>21</v>
      </c>
      <c r="E1995" s="244"/>
      <c r="G1995" s="352">
        <f t="shared" si="29"/>
        <v>2181667.42</v>
      </c>
      <c r="H1995" s="352">
        <v>1875840.4</v>
      </c>
    </row>
    <row r="1996" spans="1:8" ht="12.75">
      <c r="A1996" s="334" t="s">
        <v>22</v>
      </c>
      <c r="B1996" s="334" t="s">
        <v>1159</v>
      </c>
      <c r="C1996" s="166"/>
      <c r="D1996" s="166" t="s">
        <v>23</v>
      </c>
      <c r="E1996" s="244"/>
      <c r="G1996" s="352">
        <f t="shared" si="29"/>
        <v>100674496.14</v>
      </c>
      <c r="H1996" s="352">
        <v>55697331.22</v>
      </c>
    </row>
    <row r="1997" spans="1:8" ht="12.75">
      <c r="A1997" s="334" t="s">
        <v>22</v>
      </c>
      <c r="B1997" s="334" t="s">
        <v>1161</v>
      </c>
      <c r="C1997" s="166"/>
      <c r="D1997" s="166" t="s">
        <v>24</v>
      </c>
      <c r="E1997" s="244"/>
      <c r="G1997" s="352">
        <f t="shared" si="29"/>
        <v>1102714</v>
      </c>
      <c r="H1997" s="352">
        <v>3856990.5</v>
      </c>
    </row>
    <row r="1998" spans="1:8" ht="12.75">
      <c r="A1998" s="334" t="s">
        <v>22</v>
      </c>
      <c r="B1998" s="334" t="s">
        <v>1163</v>
      </c>
      <c r="C1998" s="166"/>
      <c r="D1998" s="166" t="s">
        <v>25</v>
      </c>
      <c r="E1998" s="244"/>
      <c r="G1998" s="352">
        <f t="shared" si="29"/>
        <v>970708</v>
      </c>
      <c r="H1998" s="352">
        <v>630600</v>
      </c>
    </row>
    <row r="1999" spans="1:8" ht="12.75">
      <c r="A1999" s="334" t="s">
        <v>22</v>
      </c>
      <c r="B1999" s="334" t="s">
        <v>1165</v>
      </c>
      <c r="C1999" s="166"/>
      <c r="D1999" s="166" t="s">
        <v>26</v>
      </c>
      <c r="E1999" s="244"/>
      <c r="G1999" s="352">
        <f t="shared" si="29"/>
        <v>2284465</v>
      </c>
      <c r="H1999" s="352">
        <v>2905498</v>
      </c>
    </row>
    <row r="2000" spans="1:8" ht="12.75">
      <c r="A2000" s="334" t="s">
        <v>22</v>
      </c>
      <c r="B2000" s="334" t="s">
        <v>1167</v>
      </c>
      <c r="C2000" s="166"/>
      <c r="D2000" s="166" t="s">
        <v>27</v>
      </c>
      <c r="E2000" s="244"/>
      <c r="G2000" s="352">
        <f t="shared" si="29"/>
        <v>8094233.34</v>
      </c>
      <c r="H2000" s="352">
        <v>818038.07</v>
      </c>
    </row>
    <row r="2001" spans="1:8" ht="12.75">
      <c r="A2001" s="334" t="s">
        <v>22</v>
      </c>
      <c r="B2001" s="334" t="s">
        <v>1169</v>
      </c>
      <c r="C2001" s="166"/>
      <c r="D2001" s="166" t="s">
        <v>28</v>
      </c>
      <c r="E2001" s="244"/>
      <c r="G2001" s="352">
        <f t="shared" si="29"/>
        <v>2000</v>
      </c>
      <c r="H2001" s="352">
        <v>37400</v>
      </c>
    </row>
    <row r="2002" spans="1:8" ht="12.75">
      <c r="A2002" s="334" t="s">
        <v>22</v>
      </c>
      <c r="B2002" s="334" t="s">
        <v>1</v>
      </c>
      <c r="C2002" s="252"/>
      <c r="D2002" s="166" t="s">
        <v>29</v>
      </c>
      <c r="E2002" s="244"/>
      <c r="G2002" s="352">
        <f t="shared" si="29"/>
        <v>0</v>
      </c>
      <c r="H2002" s="352">
        <v>0</v>
      </c>
    </row>
    <row r="2003" spans="1:8" ht="12.75">
      <c r="A2003" s="334" t="s">
        <v>22</v>
      </c>
      <c r="B2003" s="334" t="s">
        <v>728</v>
      </c>
      <c r="C2003" s="252"/>
      <c r="D2003" s="166" t="s">
        <v>30</v>
      </c>
      <c r="E2003" s="244"/>
      <c r="G2003" s="352">
        <f t="shared" si="29"/>
        <v>0</v>
      </c>
      <c r="H2003" s="352">
        <v>0</v>
      </c>
    </row>
    <row r="2004" spans="1:8" ht="12.75">
      <c r="A2004" s="334" t="s">
        <v>22</v>
      </c>
      <c r="B2004" s="334" t="s">
        <v>1064</v>
      </c>
      <c r="C2004" s="252"/>
      <c r="D2004" s="166" t="s">
        <v>179</v>
      </c>
      <c r="E2004" s="244"/>
      <c r="G2004" s="352">
        <f>G531</f>
        <v>7386608.96</v>
      </c>
      <c r="H2004" s="352">
        <v>5992595</v>
      </c>
    </row>
    <row r="2005" spans="1:8" ht="12.75">
      <c r="A2005" s="334" t="s">
        <v>22</v>
      </c>
      <c r="B2005" s="334" t="s">
        <v>1066</v>
      </c>
      <c r="C2005" s="166"/>
      <c r="D2005" s="166" t="s">
        <v>470</v>
      </c>
      <c r="E2005" s="244"/>
      <c r="G2005" s="352">
        <f>G532</f>
        <v>0</v>
      </c>
      <c r="H2005" s="352">
        <v>0</v>
      </c>
    </row>
    <row r="2006" spans="1:8" ht="12.75">
      <c r="A2006" s="334" t="s">
        <v>22</v>
      </c>
      <c r="B2006" s="334" t="s">
        <v>778</v>
      </c>
      <c r="C2006" s="252"/>
      <c r="D2006" s="166" t="s">
        <v>471</v>
      </c>
      <c r="E2006" s="244"/>
      <c r="G2006" s="352">
        <f>G533</f>
        <v>573933.33</v>
      </c>
      <c r="H2006" s="352">
        <v>502060</v>
      </c>
    </row>
    <row r="2007" spans="1:8" ht="12.75">
      <c r="A2007" s="334" t="s">
        <v>590</v>
      </c>
      <c r="B2007" s="334" t="s">
        <v>1159</v>
      </c>
      <c r="C2007" s="252"/>
      <c r="D2007" s="253" t="s">
        <v>591</v>
      </c>
      <c r="E2007" s="244"/>
      <c r="G2007" s="352">
        <f>G560</f>
        <v>23384547.93</v>
      </c>
      <c r="H2007" s="352">
        <v>22948980.169999994</v>
      </c>
    </row>
    <row r="2008" spans="2:8" ht="12.75">
      <c r="B2008" s="166"/>
      <c r="C2008" s="345"/>
      <c r="D2008" s="236" t="s">
        <v>943</v>
      </c>
      <c r="E2008" s="236"/>
      <c r="F2008" s="236"/>
      <c r="G2008" s="358">
        <f>SUM(G1973:G2007)</f>
        <v>289650353.13</v>
      </c>
      <c r="H2008" s="358">
        <f>SUM(H1973:H2007)</f>
        <v>178362163.46</v>
      </c>
    </row>
    <row r="2009" spans="7:8" ht="12.75">
      <c r="G2009" s="352"/>
      <c r="H2009" s="352"/>
    </row>
    <row r="2010" spans="7:8" ht="12.75">
      <c r="G2010" s="352"/>
      <c r="H2010" s="352"/>
    </row>
    <row r="2011" spans="2:8" ht="12.75">
      <c r="B2011" s="341"/>
      <c r="C2011" s="221">
        <v>307550</v>
      </c>
      <c r="D2011" s="222" t="s">
        <v>346</v>
      </c>
      <c r="E2011" s="244"/>
      <c r="G2011" s="352"/>
      <c r="H2011" s="352"/>
    </row>
    <row r="2012" spans="1:8" ht="12.75">
      <c r="A2012" s="334" t="s">
        <v>704</v>
      </c>
      <c r="B2012" s="334" t="s">
        <v>1159</v>
      </c>
      <c r="C2012" s="166"/>
      <c r="D2012" s="166" t="s">
        <v>589</v>
      </c>
      <c r="E2012" s="222"/>
      <c r="G2012" s="349">
        <f>G559</f>
        <v>1757911814</v>
      </c>
      <c r="H2012" s="352">
        <v>1952213407</v>
      </c>
    </row>
    <row r="2013" spans="1:8" ht="12.75">
      <c r="A2013" s="236"/>
      <c r="B2013" s="359"/>
      <c r="C2013" s="345"/>
      <c r="D2013" s="236" t="s">
        <v>943</v>
      </c>
      <c r="E2013" s="236"/>
      <c r="F2013" s="236"/>
      <c r="G2013" s="358">
        <f>SUM(G2012)</f>
        <v>1757911814</v>
      </c>
      <c r="H2013" s="358">
        <f>SUM(H2012)</f>
        <v>1952213407</v>
      </c>
    </row>
    <row r="2014" spans="2:8" ht="12.75">
      <c r="B2014" s="166"/>
      <c r="C2014" s="245"/>
      <c r="D2014" s="244"/>
      <c r="E2014" s="244"/>
      <c r="G2014" s="352"/>
      <c r="H2014" s="352"/>
    </row>
    <row r="2015" spans="2:8" ht="12.75">
      <c r="B2015" s="341"/>
      <c r="C2015" s="221">
        <v>307750</v>
      </c>
      <c r="D2015" s="222" t="s">
        <v>1088</v>
      </c>
      <c r="E2015" s="244"/>
      <c r="G2015" s="352"/>
      <c r="H2015" s="352"/>
    </row>
    <row r="2016" spans="1:8" ht="12.75">
      <c r="A2016" s="334" t="s">
        <v>1398</v>
      </c>
      <c r="B2016" s="334" t="s">
        <v>1167</v>
      </c>
      <c r="C2016" s="252"/>
      <c r="D2016" s="166" t="s">
        <v>840</v>
      </c>
      <c r="E2016" s="222"/>
      <c r="G2016" s="349">
        <f>G420</f>
        <v>509072172.15</v>
      </c>
      <c r="H2016" s="352">
        <v>630811280.6299999</v>
      </c>
    </row>
    <row r="2017" spans="1:8" ht="12.75">
      <c r="A2017" s="334" t="s">
        <v>1398</v>
      </c>
      <c r="B2017" s="334" t="s">
        <v>841</v>
      </c>
      <c r="C2017" s="252"/>
      <c r="D2017" s="166" t="s">
        <v>842</v>
      </c>
      <c r="G2017" s="349">
        <f>G421</f>
        <v>134793031.32</v>
      </c>
      <c r="H2017" s="352">
        <v>104591387.41000003</v>
      </c>
    </row>
    <row r="2018" spans="1:8" ht="12.75">
      <c r="A2018" s="334" t="s">
        <v>947</v>
      </c>
      <c r="B2018" s="334" t="s">
        <v>841</v>
      </c>
      <c r="C2018" s="252"/>
      <c r="D2018" s="166" t="s">
        <v>618</v>
      </c>
      <c r="E2018" s="244"/>
      <c r="G2018" s="352">
        <f>G479</f>
        <v>77762071.87</v>
      </c>
      <c r="H2018" s="352">
        <v>28187723.009999998</v>
      </c>
    </row>
    <row r="2019" spans="1:8" ht="12.75">
      <c r="A2019" s="334" t="s">
        <v>472</v>
      </c>
      <c r="B2019" s="334" t="s">
        <v>1159</v>
      </c>
      <c r="C2019" s="252"/>
      <c r="D2019" s="166" t="s">
        <v>473</v>
      </c>
      <c r="E2019" s="244"/>
      <c r="G2019" s="352">
        <f>G534</f>
        <v>0</v>
      </c>
      <c r="H2019" s="352">
        <v>0</v>
      </c>
    </row>
    <row r="2020" spans="1:8" ht="12.75">
      <c r="A2020" s="334" t="s">
        <v>478</v>
      </c>
      <c r="B2020" s="334" t="s">
        <v>1159</v>
      </c>
      <c r="C2020" s="252"/>
      <c r="D2020" s="166" t="s">
        <v>479</v>
      </c>
      <c r="E2020" s="244"/>
      <c r="G2020" s="352">
        <f>G537</f>
        <v>0</v>
      </c>
      <c r="H2020" s="352">
        <v>0</v>
      </c>
    </row>
    <row r="2021" spans="1:8" ht="12.75">
      <c r="A2021" s="334" t="s">
        <v>486</v>
      </c>
      <c r="B2021" s="347" t="s">
        <v>1159</v>
      </c>
      <c r="C2021" s="252"/>
      <c r="D2021" s="166" t="s">
        <v>487</v>
      </c>
      <c r="E2021" s="244"/>
      <c r="G2021" s="352">
        <f>G541</f>
        <v>0</v>
      </c>
      <c r="H2021" s="352">
        <v>4295575</v>
      </c>
    </row>
    <row r="2022" spans="1:8" ht="12.75">
      <c r="A2022" s="334" t="s">
        <v>486</v>
      </c>
      <c r="B2022" s="334" t="s">
        <v>841</v>
      </c>
      <c r="C2022" s="252"/>
      <c r="D2022" s="166" t="s">
        <v>488</v>
      </c>
      <c r="E2022" s="244"/>
      <c r="G2022" s="352">
        <f>G542</f>
        <v>67823172.04</v>
      </c>
      <c r="H2022" s="352">
        <v>86928550.75999999</v>
      </c>
    </row>
    <row r="2023" spans="1:8" ht="12.75">
      <c r="A2023" s="334" t="s">
        <v>486</v>
      </c>
      <c r="B2023" s="334" t="s">
        <v>1064</v>
      </c>
      <c r="C2023" s="252"/>
      <c r="D2023" s="166" t="s">
        <v>489</v>
      </c>
      <c r="E2023" s="244"/>
      <c r="G2023" s="352">
        <f>G543</f>
        <v>4611375</v>
      </c>
      <c r="H2023" s="352">
        <v>2992100</v>
      </c>
    </row>
    <row r="2024" spans="1:8" ht="12.75">
      <c r="A2024" s="334" t="s">
        <v>486</v>
      </c>
      <c r="B2024" s="334" t="s">
        <v>778</v>
      </c>
      <c r="C2024" s="252"/>
      <c r="D2024" s="166" t="s">
        <v>490</v>
      </c>
      <c r="E2024" s="244"/>
      <c r="G2024" s="352">
        <f>G544</f>
        <v>1823900</v>
      </c>
      <c r="H2024" s="352">
        <v>3829000</v>
      </c>
    </row>
    <row r="2025" spans="1:8" ht="12.75">
      <c r="A2025" s="334" t="s">
        <v>493</v>
      </c>
      <c r="B2025" s="334" t="s">
        <v>1159</v>
      </c>
      <c r="C2025" s="252"/>
      <c r="D2025" s="166" t="s">
        <v>56</v>
      </c>
      <c r="E2025" s="244"/>
      <c r="G2025" s="352">
        <f>G546</f>
        <v>4000000</v>
      </c>
      <c r="H2025" s="352">
        <v>3060000</v>
      </c>
    </row>
    <row r="2026" spans="1:8" ht="12.75">
      <c r="A2026" s="334" t="s">
        <v>708</v>
      </c>
      <c r="B2026" s="334" t="s">
        <v>1159</v>
      </c>
      <c r="C2026" s="252"/>
      <c r="D2026" s="166" t="s">
        <v>709</v>
      </c>
      <c r="E2026" s="244"/>
      <c r="G2026" s="352">
        <f>G548</f>
        <v>83758250</v>
      </c>
      <c r="H2026" s="352">
        <v>45869786.16</v>
      </c>
    </row>
    <row r="2027" spans="1:8" ht="12.75">
      <c r="A2027" s="334" t="s">
        <v>708</v>
      </c>
      <c r="B2027" s="334" t="s">
        <v>1402</v>
      </c>
      <c r="C2027" s="252"/>
      <c r="D2027" s="166" t="s">
        <v>710</v>
      </c>
      <c r="E2027" s="244"/>
      <c r="G2027" s="352">
        <f>G549</f>
        <v>0</v>
      </c>
      <c r="H2027" s="352">
        <v>0</v>
      </c>
    </row>
    <row r="2028" spans="1:8" ht="12.75">
      <c r="A2028" s="334" t="s">
        <v>712</v>
      </c>
      <c r="B2028" s="347" t="s">
        <v>1064</v>
      </c>
      <c r="C2028" s="252"/>
      <c r="D2028" s="348" t="s">
        <v>713</v>
      </c>
      <c r="E2028" s="244"/>
      <c r="G2028" s="352">
        <f>G551</f>
        <v>10505245</v>
      </c>
      <c r="H2028" s="352">
        <v>7580141</v>
      </c>
    </row>
    <row r="2029" spans="1:8" ht="12.75">
      <c r="A2029" s="334" t="s">
        <v>717</v>
      </c>
      <c r="B2029" s="334" t="s">
        <v>1159</v>
      </c>
      <c r="C2029" s="252"/>
      <c r="D2029" s="166" t="s">
        <v>718</v>
      </c>
      <c r="E2029" s="244"/>
      <c r="G2029" s="352">
        <f>G554</f>
        <v>0</v>
      </c>
      <c r="H2029" s="352">
        <v>0</v>
      </c>
    </row>
    <row r="2030" spans="1:8" ht="12.75">
      <c r="A2030" s="334" t="s">
        <v>65</v>
      </c>
      <c r="B2030" s="334" t="s">
        <v>1402</v>
      </c>
      <c r="C2030" s="252"/>
      <c r="D2030" s="166" t="s">
        <v>66</v>
      </c>
      <c r="E2030" s="244"/>
      <c r="G2030" s="352">
        <f>G555</f>
        <v>0</v>
      </c>
      <c r="H2030" s="353">
        <v>0</v>
      </c>
    </row>
    <row r="2031" spans="1:8" ht="12.75">
      <c r="A2031" s="334" t="s">
        <v>67</v>
      </c>
      <c r="B2031" s="347" t="s">
        <v>1159</v>
      </c>
      <c r="C2031" s="252"/>
      <c r="D2031" s="166" t="s">
        <v>68</v>
      </c>
      <c r="E2031" s="244"/>
      <c r="G2031" s="352">
        <f>G556</f>
        <v>101996877</v>
      </c>
      <c r="H2031" s="352">
        <v>72129916</v>
      </c>
    </row>
    <row r="2032" spans="1:8" ht="12.75">
      <c r="A2032" s="334" t="s">
        <v>69</v>
      </c>
      <c r="B2032" s="334" t="s">
        <v>70</v>
      </c>
      <c r="C2032" s="252"/>
      <c r="D2032" s="166" t="s">
        <v>701</v>
      </c>
      <c r="E2032" s="244"/>
      <c r="G2032" s="352">
        <f>G557</f>
        <v>0</v>
      </c>
      <c r="H2032" s="352">
        <v>0</v>
      </c>
    </row>
    <row r="2033" spans="1:8" ht="12.75">
      <c r="A2033" s="334" t="s">
        <v>593</v>
      </c>
      <c r="B2033" s="334" t="s">
        <v>1064</v>
      </c>
      <c r="C2033" s="252"/>
      <c r="D2033" s="253" t="s">
        <v>594</v>
      </c>
      <c r="E2033" s="244"/>
      <c r="G2033" s="352">
        <f>G562</f>
        <v>12720833</v>
      </c>
      <c r="H2033" s="353">
        <v>7975000</v>
      </c>
    </row>
    <row r="2034" spans="1:8" ht="12.75">
      <c r="A2034" s="334" t="s">
        <v>1245</v>
      </c>
      <c r="B2034" s="334" t="s">
        <v>1159</v>
      </c>
      <c r="C2034" s="166"/>
      <c r="D2034" s="164" t="s">
        <v>1246</v>
      </c>
      <c r="E2034" s="244"/>
      <c r="G2034" s="352">
        <f>G572</f>
        <v>20670000</v>
      </c>
      <c r="H2034" s="353">
        <v>73490000</v>
      </c>
    </row>
    <row r="2035" spans="1:8" ht="12.75">
      <c r="A2035" s="334" t="s">
        <v>1075</v>
      </c>
      <c r="B2035" s="334" t="s">
        <v>1064</v>
      </c>
      <c r="C2035" s="166"/>
      <c r="D2035" s="164" t="s">
        <v>1076</v>
      </c>
      <c r="E2035" s="244"/>
      <c r="G2035" s="352">
        <f>G573</f>
        <v>40006006</v>
      </c>
      <c r="H2035" s="353"/>
    </row>
    <row r="2036" spans="1:8" ht="12.75">
      <c r="A2036" s="334" t="s">
        <v>1552</v>
      </c>
      <c r="B2036" s="334" t="s">
        <v>1167</v>
      </c>
      <c r="C2036" s="252"/>
      <c r="D2036" s="166" t="s">
        <v>1553</v>
      </c>
      <c r="E2036" s="244"/>
      <c r="G2036" s="352">
        <f aca="true" t="shared" si="30" ref="G2036:G2041">G581</f>
        <v>99854451</v>
      </c>
      <c r="H2036" s="352">
        <v>50052423</v>
      </c>
    </row>
    <row r="2037" spans="1:8" ht="12.75">
      <c r="A2037" s="334" t="s">
        <v>1554</v>
      </c>
      <c r="B2037" s="334" t="s">
        <v>1159</v>
      </c>
      <c r="C2037" s="252"/>
      <c r="D2037" s="166" t="s">
        <v>1555</v>
      </c>
      <c r="E2037" s="244"/>
      <c r="G2037" s="352">
        <f t="shared" si="30"/>
        <v>6772127.07</v>
      </c>
      <c r="H2037" s="352">
        <v>2112342.76</v>
      </c>
    </row>
    <row r="2038" spans="1:8" ht="12.75">
      <c r="A2038" s="334" t="s">
        <v>1554</v>
      </c>
      <c r="B2038" s="334" t="s">
        <v>70</v>
      </c>
      <c r="C2038" s="252"/>
      <c r="D2038" s="166" t="s">
        <v>1556</v>
      </c>
      <c r="E2038" s="244"/>
      <c r="G2038" s="352">
        <f t="shared" si="30"/>
        <v>474500</v>
      </c>
      <c r="H2038" s="352">
        <v>0</v>
      </c>
    </row>
    <row r="2039" spans="1:8" ht="12.75">
      <c r="A2039" s="334" t="s">
        <v>1554</v>
      </c>
      <c r="B2039" s="334" t="s">
        <v>1161</v>
      </c>
      <c r="C2039" s="252"/>
      <c r="D2039" s="166" t="s">
        <v>1557</v>
      </c>
      <c r="E2039" s="244"/>
      <c r="G2039" s="352">
        <f t="shared" si="30"/>
        <v>2065818.48</v>
      </c>
      <c r="H2039" s="352">
        <v>3232906.29</v>
      </c>
    </row>
    <row r="2040" spans="1:8" ht="12.75">
      <c r="A2040" s="334" t="s">
        <v>1554</v>
      </c>
      <c r="B2040" s="334" t="s">
        <v>1167</v>
      </c>
      <c r="C2040" s="252"/>
      <c r="D2040" s="166" t="s">
        <v>1558</v>
      </c>
      <c r="E2040" s="244"/>
      <c r="G2040" s="352">
        <f t="shared" si="30"/>
        <v>32219596.299999997</v>
      </c>
      <c r="H2040" s="352">
        <v>9910091.99</v>
      </c>
    </row>
    <row r="2041" spans="1:8" ht="12.75">
      <c r="A2041" s="334" t="s">
        <v>1554</v>
      </c>
      <c r="B2041" s="334" t="s">
        <v>841</v>
      </c>
      <c r="C2041" s="252"/>
      <c r="D2041" s="166" t="s">
        <v>1559</v>
      </c>
      <c r="E2041" s="244"/>
      <c r="G2041" s="352">
        <f t="shared" si="30"/>
        <v>4295502.07</v>
      </c>
      <c r="H2041" s="352">
        <v>7499315.91</v>
      </c>
    </row>
    <row r="2042" spans="1:8" ht="12.75">
      <c r="A2042" s="334" t="s">
        <v>1554</v>
      </c>
      <c r="B2042" s="347" t="s">
        <v>1064</v>
      </c>
      <c r="C2042" s="252"/>
      <c r="D2042" s="166" t="s">
        <v>1639</v>
      </c>
      <c r="E2042" s="244"/>
      <c r="G2042" s="352">
        <f>G597</f>
        <v>3783944.71</v>
      </c>
      <c r="H2042" s="352">
        <v>9920006.7</v>
      </c>
    </row>
    <row r="2043" spans="1:8" ht="12.75">
      <c r="A2043" s="334" t="s">
        <v>1554</v>
      </c>
      <c r="B2043" s="347" t="s">
        <v>1066</v>
      </c>
      <c r="C2043" s="252"/>
      <c r="D2043" s="166" t="s">
        <v>1315</v>
      </c>
      <c r="E2043" s="244"/>
      <c r="G2043" s="352">
        <f>G598</f>
        <v>223341.11</v>
      </c>
      <c r="H2043" s="352">
        <v>197843.88</v>
      </c>
    </row>
    <row r="2044" spans="1:8" ht="12.75">
      <c r="A2044" s="334" t="s">
        <v>1595</v>
      </c>
      <c r="B2044" s="347" t="s">
        <v>778</v>
      </c>
      <c r="C2044" s="166"/>
      <c r="D2044" s="166" t="s">
        <v>892</v>
      </c>
      <c r="E2044" s="244"/>
      <c r="G2044" s="352">
        <f>G611</f>
        <v>92456239.25</v>
      </c>
      <c r="H2044" s="352">
        <v>87807654</v>
      </c>
    </row>
    <row r="2045" spans="1:8" ht="12.75">
      <c r="A2045" s="334" t="s">
        <v>893</v>
      </c>
      <c r="B2045" s="334" t="s">
        <v>1167</v>
      </c>
      <c r="C2045" s="166"/>
      <c r="D2045" s="166" t="s">
        <v>894</v>
      </c>
      <c r="E2045" s="244"/>
      <c r="G2045" s="352">
        <f>G612</f>
        <v>58464576.5</v>
      </c>
      <c r="H2045" s="352">
        <v>49054320.84</v>
      </c>
    </row>
    <row r="2047" spans="1:8" ht="12.75">
      <c r="A2047" s="236"/>
      <c r="B2047" s="359"/>
      <c r="C2047" s="345"/>
      <c r="D2047" s="236" t="s">
        <v>943</v>
      </c>
      <c r="E2047" s="236"/>
      <c r="F2047" s="236"/>
      <c r="G2047" s="358">
        <f>SUM(G2016:G2046)</f>
        <v>1370153029.87</v>
      </c>
      <c r="H2047" s="358">
        <f>SUM(H2016:H2046)</f>
        <v>1291527365.34</v>
      </c>
    </row>
    <row r="2048" spans="2:8" ht="12.75">
      <c r="B2048" s="166"/>
      <c r="C2048" s="245"/>
      <c r="D2048" s="244"/>
      <c r="E2048" s="244"/>
      <c r="G2048" s="352"/>
      <c r="H2048" s="352"/>
    </row>
    <row r="2049" spans="2:8" ht="12.75">
      <c r="B2049" s="166"/>
      <c r="C2049" s="245"/>
      <c r="D2049" s="244"/>
      <c r="E2049" s="244"/>
      <c r="G2049" s="352"/>
      <c r="H2049" s="352"/>
    </row>
    <row r="2050" spans="2:8" ht="12.75">
      <c r="B2050" s="166"/>
      <c r="C2050" s="245"/>
      <c r="D2050" s="225" t="s">
        <v>1089</v>
      </c>
      <c r="E2050" s="222"/>
      <c r="G2050" s="353"/>
      <c r="H2050" s="352"/>
    </row>
    <row r="2051" spans="2:8" ht="12.75">
      <c r="B2051" s="341"/>
      <c r="C2051" s="221">
        <v>309160</v>
      </c>
      <c r="D2051" s="222" t="s">
        <v>1090</v>
      </c>
      <c r="E2051" s="244"/>
      <c r="G2051" s="352"/>
      <c r="H2051" s="352"/>
    </row>
    <row r="2052" spans="1:8" ht="12.75">
      <c r="A2052" s="334" t="s">
        <v>1999</v>
      </c>
      <c r="B2052" s="166"/>
      <c r="C2052" s="252"/>
      <c r="D2052" s="166" t="s">
        <v>2000</v>
      </c>
      <c r="E2052" s="244"/>
      <c r="G2052" s="352">
        <f>H152</f>
        <v>15641960</v>
      </c>
      <c r="H2052" s="352">
        <v>27055027</v>
      </c>
    </row>
    <row r="2053" spans="2:8" ht="12.75">
      <c r="B2053" s="166"/>
      <c r="C2053" s="245"/>
      <c r="D2053" s="244"/>
      <c r="E2053" s="244"/>
      <c r="G2053" s="352"/>
      <c r="H2053" s="352"/>
    </row>
    <row r="2054" spans="1:8" ht="12.75">
      <c r="A2054" s="236"/>
      <c r="B2054" s="359"/>
      <c r="C2054" s="345"/>
      <c r="D2054" s="236" t="s">
        <v>943</v>
      </c>
      <c r="E2054" s="236"/>
      <c r="F2054" s="236"/>
      <c r="G2054" s="358">
        <f>SUM(G2052:G2053)</f>
        <v>15641960</v>
      </c>
      <c r="H2054" s="358">
        <f>SUM(H2052:H2053)</f>
        <v>27055027</v>
      </c>
    </row>
    <row r="2055" spans="2:8" ht="12.75">
      <c r="B2055" s="166"/>
      <c r="C2055" s="245"/>
      <c r="D2055" s="244"/>
      <c r="E2055" s="244"/>
      <c r="G2055" s="352"/>
      <c r="H2055" s="352"/>
    </row>
    <row r="2056" spans="2:8" ht="12.75">
      <c r="B2056" s="341"/>
      <c r="C2056" s="221">
        <v>309190</v>
      </c>
      <c r="D2056" s="222" t="s">
        <v>352</v>
      </c>
      <c r="E2056" s="244"/>
      <c r="G2056" s="352"/>
      <c r="H2056" s="352"/>
    </row>
    <row r="2057" spans="1:8" ht="12.75">
      <c r="A2057" s="334" t="s">
        <v>2001</v>
      </c>
      <c r="B2057" s="166"/>
      <c r="C2057" s="252"/>
      <c r="D2057" s="166" t="s">
        <v>2002</v>
      </c>
      <c r="E2057" s="222"/>
      <c r="G2057" s="349">
        <f>H153</f>
        <v>9328449</v>
      </c>
      <c r="H2057" s="352">
        <v>23166547</v>
      </c>
    </row>
    <row r="2058" spans="1:8" ht="12.75">
      <c r="A2058" s="236"/>
      <c r="B2058" s="359"/>
      <c r="C2058" s="345"/>
      <c r="D2058" s="236" t="s">
        <v>943</v>
      </c>
      <c r="E2058" s="236"/>
      <c r="F2058" s="236"/>
      <c r="G2058" s="358">
        <f>SUM(G2057)</f>
        <v>9328449</v>
      </c>
      <c r="H2058" s="358">
        <f>SUM(H2057)</f>
        <v>23166547</v>
      </c>
    </row>
    <row r="2059" spans="2:8" ht="12.75">
      <c r="B2059" s="166"/>
      <c r="C2059" s="245"/>
      <c r="D2059" s="244"/>
      <c r="E2059" s="244"/>
      <c r="G2059" s="352"/>
      <c r="H2059" s="352"/>
    </row>
    <row r="2060" spans="2:8" ht="12.75">
      <c r="B2060" s="341"/>
      <c r="C2060" s="221">
        <v>309260</v>
      </c>
      <c r="D2060" s="222" t="s">
        <v>354</v>
      </c>
      <c r="E2060" s="244"/>
      <c r="G2060" s="352"/>
      <c r="H2060" s="352"/>
    </row>
    <row r="2061" spans="1:8" ht="12.75">
      <c r="A2061" s="334" t="s">
        <v>2007</v>
      </c>
      <c r="B2061" s="166"/>
      <c r="C2061" s="252"/>
      <c r="D2061" s="166" t="s">
        <v>2008</v>
      </c>
      <c r="E2061" s="222"/>
      <c r="G2061" s="349">
        <f>H156</f>
        <v>99491616</v>
      </c>
      <c r="H2061" s="352">
        <v>967885110</v>
      </c>
    </row>
    <row r="2062" spans="1:8" ht="12.75">
      <c r="A2062" s="334" t="s">
        <v>2009</v>
      </c>
      <c r="B2062" s="166"/>
      <c r="C2062" s="166"/>
      <c r="D2062" s="166" t="s">
        <v>2010</v>
      </c>
      <c r="E2062" s="244"/>
      <c r="G2062" s="349">
        <f>H157-G157</f>
        <v>0</v>
      </c>
      <c r="H2062" s="352">
        <v>0</v>
      </c>
    </row>
    <row r="2063" spans="1:8" ht="12.75">
      <c r="A2063" s="334" t="s">
        <v>2015</v>
      </c>
      <c r="B2063" s="166"/>
      <c r="C2063" s="252"/>
      <c r="D2063" s="166" t="s">
        <v>2016</v>
      </c>
      <c r="E2063" s="244"/>
      <c r="G2063" s="349">
        <f>H160</f>
        <v>0</v>
      </c>
      <c r="H2063" s="352">
        <v>1000000</v>
      </c>
    </row>
    <row r="2064" spans="1:8" ht="12.75">
      <c r="A2064" s="236"/>
      <c r="B2064" s="359"/>
      <c r="C2064" s="345"/>
      <c r="D2064" s="236" t="s">
        <v>943</v>
      </c>
      <c r="E2064" s="236"/>
      <c r="F2064" s="236"/>
      <c r="G2064" s="358">
        <f>SUM(G2061:G2063)</f>
        <v>99491616</v>
      </c>
      <c r="H2064" s="358">
        <f>SUM(H2061:H2063)</f>
        <v>968885110</v>
      </c>
    </row>
    <row r="2065" spans="2:8" ht="12.75">
      <c r="B2065" s="166"/>
      <c r="C2065" s="245"/>
      <c r="D2065" s="244"/>
      <c r="E2065" s="244"/>
      <c r="G2065" s="352"/>
      <c r="H2065" s="353"/>
    </row>
    <row r="2066" spans="2:8" ht="12.75">
      <c r="B2066" s="166"/>
      <c r="C2066" s="245"/>
      <c r="D2066" s="244"/>
      <c r="E2066" s="244"/>
      <c r="G2066" s="352"/>
      <c r="H2066" s="352"/>
    </row>
    <row r="2067" spans="2:8" ht="12.75">
      <c r="B2067" s="341"/>
      <c r="C2067" s="221">
        <v>309720</v>
      </c>
      <c r="D2067" s="222" t="s">
        <v>1091</v>
      </c>
      <c r="E2067" s="244"/>
      <c r="G2067" s="352"/>
      <c r="H2067" s="352"/>
    </row>
    <row r="2068" spans="1:8" ht="12.75">
      <c r="A2068" s="334" t="s">
        <v>598</v>
      </c>
      <c r="B2068" s="334" t="s">
        <v>1167</v>
      </c>
      <c r="C2068" s="252"/>
      <c r="D2068" s="166" t="s">
        <v>1235</v>
      </c>
      <c r="E2068" s="244"/>
      <c r="G2068" s="352">
        <f>G565</f>
        <v>0</v>
      </c>
      <c r="H2068" s="352">
        <v>0</v>
      </c>
    </row>
    <row r="2069" spans="1:8" ht="12.75">
      <c r="A2069" s="334" t="s">
        <v>1236</v>
      </c>
      <c r="B2069" s="334" t="s">
        <v>1167</v>
      </c>
      <c r="C2069" s="252"/>
      <c r="D2069" s="166" t="s">
        <v>1237</v>
      </c>
      <c r="E2069" s="244"/>
      <c r="G2069" s="352">
        <f>G567</f>
        <v>467949159</v>
      </c>
      <c r="H2069" s="352">
        <v>17095761</v>
      </c>
    </row>
    <row r="2070" spans="1:8" ht="12.75">
      <c r="A2070" s="334" t="s">
        <v>1238</v>
      </c>
      <c r="B2070" s="334" t="s">
        <v>1161</v>
      </c>
      <c r="C2070" s="252"/>
      <c r="D2070" s="166" t="s">
        <v>1826</v>
      </c>
      <c r="E2070" s="244"/>
      <c r="G2070" s="352">
        <v>0</v>
      </c>
      <c r="H2070" s="352">
        <v>11666865</v>
      </c>
    </row>
    <row r="2071" spans="1:8" ht="12.75">
      <c r="A2071" s="334" t="s">
        <v>1238</v>
      </c>
      <c r="B2071" s="334" t="s">
        <v>1167</v>
      </c>
      <c r="C2071" s="252"/>
      <c r="D2071" s="166" t="s">
        <v>1074</v>
      </c>
      <c r="E2071" s="244"/>
      <c r="G2071" s="352">
        <f>G569</f>
        <v>149913484.24</v>
      </c>
      <c r="H2071" s="352">
        <v>0</v>
      </c>
    </row>
    <row r="2072" spans="1:8" ht="12.75">
      <c r="A2072" s="334" t="s">
        <v>1240</v>
      </c>
      <c r="B2072" s="334" t="s">
        <v>1241</v>
      </c>
      <c r="C2072" s="166"/>
      <c r="D2072" s="166" t="s">
        <v>1242</v>
      </c>
      <c r="E2072" s="222"/>
      <c r="G2072" s="353">
        <v>0</v>
      </c>
      <c r="H2072" s="352">
        <v>0</v>
      </c>
    </row>
    <row r="2073" spans="1:8" ht="12.75">
      <c r="A2073" s="236"/>
      <c r="B2073" s="359"/>
      <c r="C2073" s="345"/>
      <c r="D2073" s="236" t="s">
        <v>943</v>
      </c>
      <c r="E2073" s="236"/>
      <c r="F2073" s="236"/>
      <c r="G2073" s="358">
        <f>SUM(G2068:G2072)</f>
        <v>617862643.24</v>
      </c>
      <c r="H2073" s="358">
        <f>SUM(H2068:H2072)</f>
        <v>28762626</v>
      </c>
    </row>
    <row r="2074" spans="2:8" ht="12.75">
      <c r="B2074" s="166"/>
      <c r="C2074" s="245"/>
      <c r="D2074" s="244"/>
      <c r="E2074" s="244"/>
      <c r="G2074" s="352"/>
      <c r="H2074" s="352"/>
    </row>
    <row r="2075" spans="2:8" ht="12.75">
      <c r="B2075" s="341"/>
      <c r="C2075" s="221">
        <v>309730</v>
      </c>
      <c r="D2075" s="222" t="s">
        <v>357</v>
      </c>
      <c r="E2075" s="244"/>
      <c r="G2075" s="352"/>
      <c r="H2075" s="352"/>
    </row>
    <row r="2076" spans="1:8" ht="12.75">
      <c r="A2076" s="334" t="s">
        <v>484</v>
      </c>
      <c r="B2076" s="334" t="s">
        <v>1161</v>
      </c>
      <c r="C2076" s="252"/>
      <c r="D2076" s="166" t="s">
        <v>485</v>
      </c>
      <c r="E2076" s="244"/>
      <c r="G2076" s="352">
        <f>G540</f>
        <v>16500</v>
      </c>
      <c r="H2076" s="352">
        <v>1895010</v>
      </c>
    </row>
    <row r="2077" spans="1:8" ht="12.75">
      <c r="A2077" s="334" t="s">
        <v>1955</v>
      </c>
      <c r="B2077" s="334" t="s">
        <v>1161</v>
      </c>
      <c r="C2077" s="252"/>
      <c r="D2077" s="166" t="s">
        <v>1956</v>
      </c>
      <c r="E2077" s="244"/>
      <c r="G2077" s="352">
        <f>G633</f>
        <v>263577082</v>
      </c>
      <c r="H2077" s="352">
        <v>210421454</v>
      </c>
    </row>
    <row r="2078" spans="1:8" ht="12.75">
      <c r="A2078" s="334" t="s">
        <v>1957</v>
      </c>
      <c r="B2078" s="334" t="s">
        <v>1064</v>
      </c>
      <c r="C2078" s="252"/>
      <c r="D2078" s="166" t="s">
        <v>1958</v>
      </c>
      <c r="E2078" s="244"/>
      <c r="G2078" s="352">
        <f>G634</f>
        <v>19842076</v>
      </c>
      <c r="H2078" s="352">
        <v>27905349</v>
      </c>
    </row>
    <row r="2079" spans="1:8" ht="12.75">
      <c r="A2079" s="236"/>
      <c r="B2079" s="359"/>
      <c r="C2079" s="345"/>
      <c r="D2079" s="236" t="s">
        <v>943</v>
      </c>
      <c r="E2079" s="244"/>
      <c r="G2079" s="358">
        <f>SUM(G2076:G2078)</f>
        <v>283435658</v>
      </c>
      <c r="H2079" s="358">
        <f>SUM(H2076:H2078)</f>
        <v>240221813</v>
      </c>
    </row>
    <row r="2080" spans="1:8" ht="12.75">
      <c r="A2080" s="334"/>
      <c r="B2080" s="334"/>
      <c r="C2080" s="166"/>
      <c r="D2080" s="166"/>
      <c r="E2080" s="244"/>
      <c r="G2080" s="352"/>
      <c r="H2080" s="352"/>
    </row>
    <row r="2081" spans="1:8" ht="12.75">
      <c r="A2081" s="334"/>
      <c r="B2081" s="334"/>
      <c r="C2081" s="252"/>
      <c r="D2081" s="166"/>
      <c r="E2081" s="244"/>
      <c r="G2081" s="352"/>
      <c r="H2081" s="352"/>
    </row>
    <row r="2082" spans="2:8" ht="12.75">
      <c r="B2082" s="166"/>
      <c r="C2082" s="245"/>
      <c r="D2082" s="225" t="s">
        <v>1092</v>
      </c>
      <c r="E2082" s="244"/>
      <c r="G2082" s="352"/>
      <c r="H2082" s="352"/>
    </row>
    <row r="2083" spans="2:8" ht="12.75">
      <c r="B2083" s="341"/>
      <c r="C2083" s="221">
        <v>311850</v>
      </c>
      <c r="D2083" s="222" t="s">
        <v>72</v>
      </c>
      <c r="E2083" s="244"/>
      <c r="G2083" s="352"/>
      <c r="H2083" s="352"/>
    </row>
    <row r="2084" spans="1:8" ht="12.75">
      <c r="A2084" s="334" t="s">
        <v>1837</v>
      </c>
      <c r="B2084" s="334" t="s">
        <v>1159</v>
      </c>
      <c r="C2084" s="252"/>
      <c r="D2084" s="166" t="s">
        <v>1838</v>
      </c>
      <c r="E2084" s="244"/>
      <c r="G2084" s="352">
        <f aca="true" t="shared" si="31" ref="G2084:G2090">G621</f>
        <v>5527641</v>
      </c>
      <c r="H2084" s="352">
        <v>5440488</v>
      </c>
    </row>
    <row r="2085" spans="1:8" ht="12.75">
      <c r="A2085" s="334" t="s">
        <v>1839</v>
      </c>
      <c r="B2085" s="334" t="s">
        <v>2041</v>
      </c>
      <c r="C2085" s="252"/>
      <c r="D2085" s="166" t="s">
        <v>1934</v>
      </c>
      <c r="E2085" s="244"/>
      <c r="G2085" s="352">
        <f t="shared" si="31"/>
        <v>45526132</v>
      </c>
      <c r="H2085" s="352">
        <v>43625422</v>
      </c>
    </row>
    <row r="2086" spans="1:8" ht="12.75">
      <c r="A2086" s="334" t="s">
        <v>1935</v>
      </c>
      <c r="B2086" s="334" t="s">
        <v>2041</v>
      </c>
      <c r="C2086" s="252"/>
      <c r="D2086" s="166" t="s">
        <v>1936</v>
      </c>
      <c r="E2086" s="222"/>
      <c r="G2086" s="352">
        <f t="shared" si="31"/>
        <v>4431014066</v>
      </c>
      <c r="H2086" s="352">
        <v>2057841059</v>
      </c>
    </row>
    <row r="2087" spans="1:8" ht="12.75">
      <c r="A2087" s="334" t="s">
        <v>1939</v>
      </c>
      <c r="B2087" s="334" t="s">
        <v>70</v>
      </c>
      <c r="C2087" s="252"/>
      <c r="D2087" s="166" t="s">
        <v>1940</v>
      </c>
      <c r="E2087" s="244"/>
      <c r="G2087" s="352">
        <f t="shared" si="31"/>
        <v>274183925</v>
      </c>
      <c r="H2087" s="352">
        <v>263826170</v>
      </c>
    </row>
    <row r="2088" spans="1:8" ht="12.75">
      <c r="A2088" s="334" t="s">
        <v>1941</v>
      </c>
      <c r="B2088" s="334" t="s">
        <v>778</v>
      </c>
      <c r="C2088" s="252"/>
      <c r="D2088" s="166" t="s">
        <v>1942</v>
      </c>
      <c r="E2088" s="244"/>
      <c r="G2088" s="352">
        <f t="shared" si="31"/>
        <v>127587516</v>
      </c>
      <c r="H2088" s="352">
        <v>126372372</v>
      </c>
    </row>
    <row r="2089" spans="1:8" ht="12.75">
      <c r="A2089" s="362" t="s">
        <v>1943</v>
      </c>
      <c r="B2089" s="362" t="s">
        <v>70</v>
      </c>
      <c r="C2089" s="253"/>
      <c r="D2089" s="253" t="s">
        <v>1944</v>
      </c>
      <c r="E2089" s="244"/>
      <c r="G2089" s="352">
        <f t="shared" si="31"/>
        <v>132212273</v>
      </c>
      <c r="H2089" s="352">
        <v>56004874</v>
      </c>
    </row>
    <row r="2090" spans="1:8" ht="12.75">
      <c r="A2090" s="362" t="s">
        <v>1945</v>
      </c>
      <c r="B2090" s="362" t="s">
        <v>70</v>
      </c>
      <c r="C2090" s="341"/>
      <c r="D2090" s="253" t="s">
        <v>1946</v>
      </c>
      <c r="E2090" s="228"/>
      <c r="F2090" s="228"/>
      <c r="G2090" s="352">
        <f t="shared" si="31"/>
        <v>52074177</v>
      </c>
      <c r="H2090" s="349">
        <v>28430861</v>
      </c>
    </row>
    <row r="2091" spans="5:8" ht="15">
      <c r="E2091" s="222"/>
      <c r="F2091" s="222"/>
      <c r="G2091" s="354">
        <v>0</v>
      </c>
      <c r="H2091" s="352">
        <v>0</v>
      </c>
    </row>
    <row r="2092" spans="1:8" ht="15">
      <c r="A2092" s="236"/>
      <c r="B2092" s="359"/>
      <c r="C2092" s="345"/>
      <c r="D2092" s="236" t="s">
        <v>943</v>
      </c>
      <c r="E2092" s="236"/>
      <c r="F2092" s="236"/>
      <c r="G2092" s="351">
        <f>SUM(G2084:G2091)</f>
        <v>5068125730</v>
      </c>
      <c r="H2092" s="351">
        <f>SUM(H2084:H2091)</f>
        <v>2581541246</v>
      </c>
    </row>
    <row r="2093" spans="5:8" ht="12.75">
      <c r="E2093" s="244"/>
      <c r="G2093" s="352"/>
      <c r="H2093" s="352"/>
    </row>
    <row r="2094" spans="2:8" ht="12.75">
      <c r="B2094" s="166"/>
      <c r="C2094" s="245"/>
      <c r="E2094" s="244"/>
      <c r="G2094" s="352"/>
      <c r="H2094" s="352"/>
    </row>
    <row r="2095" spans="2:8" ht="12.75">
      <c r="B2095" s="166"/>
      <c r="C2095" s="245"/>
      <c r="D2095" s="225" t="s">
        <v>368</v>
      </c>
      <c r="E2095" s="244"/>
      <c r="G2095" s="352"/>
      <c r="H2095" s="352"/>
    </row>
    <row r="2096" spans="2:8" ht="12.75">
      <c r="B2096" s="341"/>
      <c r="C2096" s="221">
        <v>368900</v>
      </c>
      <c r="D2096" s="222" t="s">
        <v>73</v>
      </c>
      <c r="E2096" s="244"/>
      <c r="G2096" s="352"/>
      <c r="H2096" s="352"/>
    </row>
    <row r="2097" spans="1:8" ht="12.75">
      <c r="A2097" s="334" t="s">
        <v>2013</v>
      </c>
      <c r="B2097" s="166"/>
      <c r="C2097" s="166"/>
      <c r="D2097" s="166" t="s">
        <v>2014</v>
      </c>
      <c r="E2097" s="244"/>
      <c r="G2097" s="352">
        <f>H159</f>
        <v>290721183</v>
      </c>
      <c r="H2097" s="352">
        <v>895017</v>
      </c>
    </row>
    <row r="2098" spans="2:8" ht="12.75">
      <c r="B2098" s="166"/>
      <c r="C2098" s="245"/>
      <c r="D2098" s="222" t="s">
        <v>943</v>
      </c>
      <c r="E2098" s="244"/>
      <c r="G2098" s="358">
        <f>SUM(G2097)</f>
        <v>290721183</v>
      </c>
      <c r="H2098" s="358">
        <f>SUM(H2097)</f>
        <v>895017</v>
      </c>
    </row>
    <row r="2099" spans="5:8" ht="12.75">
      <c r="E2099" s="244"/>
      <c r="G2099" s="352"/>
      <c r="H2099" s="352"/>
    </row>
    <row r="2100" spans="5:8" ht="12.75">
      <c r="E2100" s="222"/>
      <c r="G2100" s="353"/>
      <c r="H2100" s="352"/>
    </row>
    <row r="2101" spans="2:8" ht="12.75">
      <c r="B2101" s="341"/>
      <c r="C2101" s="221">
        <v>372200</v>
      </c>
      <c r="D2101" s="222" t="s">
        <v>74</v>
      </c>
      <c r="E2101" s="244"/>
      <c r="G2101" s="352"/>
      <c r="H2101" s="353"/>
    </row>
    <row r="2102" spans="1:8" ht="12.75">
      <c r="A2102" s="334" t="s">
        <v>897</v>
      </c>
      <c r="B2102" s="334" t="s">
        <v>1161</v>
      </c>
      <c r="C2102" s="252"/>
      <c r="D2102" s="166" t="s">
        <v>898</v>
      </c>
      <c r="E2102" s="244"/>
      <c r="G2102" s="352">
        <f>G616</f>
        <v>16696483.659999996</v>
      </c>
      <c r="H2102" s="352">
        <v>76632464.33</v>
      </c>
    </row>
    <row r="2103" spans="1:8" ht="12.75">
      <c r="A2103" s="334" t="s">
        <v>897</v>
      </c>
      <c r="B2103" s="334" t="s">
        <v>1163</v>
      </c>
      <c r="C2103" s="252"/>
      <c r="D2103" s="166" t="s">
        <v>899</v>
      </c>
      <c r="E2103" s="244"/>
      <c r="G2103" s="352">
        <f>G615</f>
        <v>69669982.26</v>
      </c>
      <c r="H2103" s="352">
        <v>21767429.98</v>
      </c>
    </row>
    <row r="2104" spans="1:8" ht="15">
      <c r="A2104" s="334" t="s">
        <v>897</v>
      </c>
      <c r="B2104" s="334" t="s">
        <v>1165</v>
      </c>
      <c r="C2104" s="252"/>
      <c r="D2104" s="166" t="s">
        <v>1128</v>
      </c>
      <c r="E2104" s="244"/>
      <c r="G2104" s="354">
        <f>G617</f>
        <v>0</v>
      </c>
      <c r="H2104" s="350">
        <v>459947503.59999996</v>
      </c>
    </row>
    <row r="2105" spans="2:8" ht="15">
      <c r="B2105" s="166"/>
      <c r="C2105" s="245"/>
      <c r="D2105" s="236" t="s">
        <v>943</v>
      </c>
      <c r="E2105" s="225"/>
      <c r="F2105" s="225"/>
      <c r="G2105" s="351">
        <f>SUM(G2102:G2104)</f>
        <v>86366465.92</v>
      </c>
      <c r="H2105" s="351">
        <f>SUM(H2102:H2104)</f>
        <v>558347397.91</v>
      </c>
    </row>
    <row r="2106" spans="2:8" ht="12.75">
      <c r="B2106" s="166"/>
      <c r="C2106" s="245"/>
      <c r="D2106" s="244"/>
      <c r="E2106" s="244"/>
      <c r="G2106" s="352"/>
      <c r="H2106" s="352"/>
    </row>
    <row r="2107" spans="2:8" ht="12.75">
      <c r="B2107" s="341"/>
      <c r="C2107" s="221">
        <v>372600</v>
      </c>
      <c r="D2107" s="222" t="s">
        <v>432</v>
      </c>
      <c r="E2107" s="222"/>
      <c r="G2107" s="353"/>
      <c r="H2107" s="352"/>
    </row>
    <row r="2108" spans="1:8" ht="12.75">
      <c r="A2108" s="334" t="s">
        <v>2003</v>
      </c>
      <c r="B2108" s="166"/>
      <c r="C2108" s="252"/>
      <c r="D2108" s="166" t="s">
        <v>2004</v>
      </c>
      <c r="E2108" s="244"/>
      <c r="G2108" s="352">
        <f>G154-H154</f>
        <v>-1459977880</v>
      </c>
      <c r="H2108" s="352">
        <v>-626102978</v>
      </c>
    </row>
    <row r="2109" spans="1:8" ht="12.75">
      <c r="A2109" s="334" t="s">
        <v>2005</v>
      </c>
      <c r="B2109" s="166"/>
      <c r="C2109" s="252"/>
      <c r="D2109" s="166" t="s">
        <v>2006</v>
      </c>
      <c r="E2109" s="244"/>
      <c r="G2109" s="352">
        <f>G155-H155</f>
        <v>-45576335</v>
      </c>
      <c r="H2109" s="352">
        <v>-52962766</v>
      </c>
    </row>
    <row r="2110" spans="1:8" ht="12.75">
      <c r="A2110" s="334" t="s">
        <v>1129</v>
      </c>
      <c r="B2110" s="334" t="s">
        <v>1165</v>
      </c>
      <c r="C2110" s="252"/>
      <c r="D2110" s="166" t="s">
        <v>1130</v>
      </c>
      <c r="E2110" s="244"/>
      <c r="G2110" s="352">
        <f>G618-H618</f>
        <v>1474439997</v>
      </c>
      <c r="H2110" s="352">
        <v>488937489</v>
      </c>
    </row>
    <row r="2111" spans="1:8" ht="15">
      <c r="A2111" s="334" t="s">
        <v>1833</v>
      </c>
      <c r="B2111" s="334" t="s">
        <v>1165</v>
      </c>
      <c r="C2111" s="252"/>
      <c r="D2111" s="166" t="s">
        <v>1834</v>
      </c>
      <c r="E2111" s="244"/>
      <c r="G2111" s="354">
        <f>G619-H619</f>
        <v>295305808</v>
      </c>
      <c r="H2111" s="350">
        <v>531473961</v>
      </c>
    </row>
    <row r="2112" spans="2:8" ht="15">
      <c r="B2112" s="166"/>
      <c r="C2112" s="245"/>
      <c r="D2112" s="236" t="s">
        <v>943</v>
      </c>
      <c r="E2112" s="236"/>
      <c r="F2112" s="225"/>
      <c r="G2112" s="351">
        <f>SUM(G2108:G2111)</f>
        <v>264191590</v>
      </c>
      <c r="H2112" s="351">
        <f>SUM(H2108:H2111)</f>
        <v>341345706</v>
      </c>
    </row>
    <row r="2113" spans="2:8" ht="12.75">
      <c r="B2113" s="166"/>
      <c r="C2113" s="245"/>
      <c r="E2113" s="244"/>
      <c r="G2113" s="352"/>
      <c r="H2113" s="352"/>
    </row>
    <row r="2114" spans="5:8" ht="12.75">
      <c r="E2114" s="244"/>
      <c r="G2114" s="352"/>
      <c r="H2114" s="352"/>
    </row>
    <row r="2115" spans="2:8" ht="12.75">
      <c r="B2115" s="341"/>
      <c r="C2115" s="221">
        <v>372900</v>
      </c>
      <c r="D2115" s="361" t="s">
        <v>455</v>
      </c>
      <c r="E2115" s="244"/>
      <c r="G2115" s="352"/>
      <c r="H2115" s="352"/>
    </row>
    <row r="2116" spans="1:8" ht="12.75">
      <c r="A2116" s="334" t="s">
        <v>897</v>
      </c>
      <c r="B2116" s="334" t="s">
        <v>1163</v>
      </c>
      <c r="C2116" s="252"/>
      <c r="D2116" s="166" t="s">
        <v>899</v>
      </c>
      <c r="E2116" s="244"/>
      <c r="G2116" s="352">
        <f>H616</f>
        <v>0</v>
      </c>
      <c r="H2116" s="353">
        <v>0</v>
      </c>
    </row>
    <row r="2117" spans="1:8" ht="15">
      <c r="A2117" s="334" t="s">
        <v>1835</v>
      </c>
      <c r="B2117" s="334" t="s">
        <v>1165</v>
      </c>
      <c r="C2117" s="252"/>
      <c r="D2117" s="166" t="s">
        <v>1836</v>
      </c>
      <c r="E2117" s="244"/>
      <c r="G2117" s="350">
        <f>G620</f>
        <v>258908097</v>
      </c>
      <c r="H2117" s="350">
        <v>270176455</v>
      </c>
    </row>
    <row r="2118" spans="2:8" ht="15">
      <c r="B2118" s="166"/>
      <c r="C2118" s="245"/>
      <c r="D2118" s="236" t="s">
        <v>943</v>
      </c>
      <c r="E2118" s="225"/>
      <c r="F2118" s="225"/>
      <c r="G2118" s="351">
        <f>SUM(G2116:G2117)</f>
        <v>258908097</v>
      </c>
      <c r="H2118" s="351">
        <f>SUM(H2116:H2117)</f>
        <v>270176455</v>
      </c>
    </row>
    <row r="2119" spans="5:8" ht="12.75">
      <c r="E2119" s="244"/>
      <c r="G2119" s="352"/>
      <c r="H2119" s="352"/>
    </row>
    <row r="2120" ht="12.75">
      <c r="H2120" s="352"/>
    </row>
    <row r="2121" spans="2:8" ht="12.75">
      <c r="B2121" s="166"/>
      <c r="C2121" s="245"/>
      <c r="D2121" s="244"/>
      <c r="E2121" s="244"/>
      <c r="G2121" s="352"/>
      <c r="H2121" s="352"/>
    </row>
    <row r="2122" spans="2:8" ht="15">
      <c r="B2122" s="169"/>
      <c r="C2122" s="243" t="s">
        <v>1111</v>
      </c>
      <c r="D2122" s="244"/>
      <c r="E2122" s="244"/>
      <c r="G2122" s="352"/>
      <c r="H2122" s="353"/>
    </row>
    <row r="2123" spans="2:8" ht="15">
      <c r="B2123" s="169"/>
      <c r="C2123" s="243"/>
      <c r="D2123" s="244"/>
      <c r="E2123" s="244"/>
      <c r="G2123" s="352"/>
      <c r="H2123" s="352"/>
    </row>
    <row r="2124" spans="2:8" ht="15">
      <c r="B2124" s="169"/>
      <c r="C2124" s="243"/>
      <c r="D2124" s="261" t="s">
        <v>1827</v>
      </c>
      <c r="E2124" s="244"/>
      <c r="G2124" s="352"/>
      <c r="H2124" s="352"/>
    </row>
    <row r="2125" spans="2:8" ht="15">
      <c r="B2125" s="169"/>
      <c r="C2125" s="243"/>
      <c r="D2125" s="261"/>
      <c r="E2125" s="244"/>
      <c r="G2125" s="363" t="s">
        <v>1079</v>
      </c>
      <c r="H2125" s="363" t="s">
        <v>1613</v>
      </c>
    </row>
    <row r="2126" spans="2:8" ht="15">
      <c r="B2126" s="169"/>
      <c r="C2126" s="224"/>
      <c r="D2126" s="225" t="s">
        <v>457</v>
      </c>
      <c r="E2126" s="228"/>
      <c r="F2126" s="228"/>
      <c r="G2126" s="349"/>
      <c r="H2126" s="349"/>
    </row>
    <row r="2127" spans="2:8" ht="15">
      <c r="B2127" s="169"/>
      <c r="C2127" s="227">
        <v>101210</v>
      </c>
      <c r="D2127" s="216" t="s">
        <v>1674</v>
      </c>
      <c r="E2127" s="228"/>
      <c r="F2127" s="228"/>
      <c r="G2127" s="349">
        <f>G22</f>
        <v>186507768</v>
      </c>
      <c r="H2127" s="349">
        <v>175071569</v>
      </c>
    </row>
    <row r="2128" spans="2:8" ht="15">
      <c r="B2128" s="169"/>
      <c r="C2128" s="227">
        <v>101230</v>
      </c>
      <c r="D2128" s="216" t="s">
        <v>1675</v>
      </c>
      <c r="E2128" s="228"/>
      <c r="F2128" s="228"/>
      <c r="G2128" s="349">
        <f>-H23</f>
        <v>-158099269</v>
      </c>
      <c r="H2128" s="349">
        <v>-106025092</v>
      </c>
    </row>
    <row r="2129" spans="2:8" ht="15">
      <c r="B2129" s="169"/>
      <c r="C2129" s="227">
        <v>101300</v>
      </c>
      <c r="D2129" s="218" t="s">
        <v>1676</v>
      </c>
      <c r="E2129" s="222"/>
      <c r="F2129" s="222"/>
      <c r="G2129" s="353">
        <f>SUM(G2127:G2128)</f>
        <v>28408499</v>
      </c>
      <c r="H2129" s="353">
        <f>SUM(H2127:H2128)</f>
        <v>69046477</v>
      </c>
    </row>
    <row r="2130" spans="2:8" ht="15">
      <c r="B2130" s="169"/>
      <c r="C2130" s="224">
        <v>102000</v>
      </c>
      <c r="D2130" s="211" t="s">
        <v>1771</v>
      </c>
      <c r="E2130" s="228"/>
      <c r="F2130" s="228"/>
      <c r="G2130" s="357">
        <f>G2129</f>
        <v>28408499</v>
      </c>
      <c r="H2130" s="357">
        <f>H2129</f>
        <v>69046477</v>
      </c>
    </row>
    <row r="2131" spans="2:8" ht="15">
      <c r="B2131" s="169"/>
      <c r="C2131" s="224"/>
      <c r="D2131" s="211"/>
      <c r="E2131" s="228"/>
      <c r="F2131" s="228"/>
      <c r="G2131" s="349"/>
      <c r="H2131" s="349"/>
    </row>
    <row r="2132" spans="2:8" ht="15">
      <c r="B2132" s="169"/>
      <c r="C2132" s="243"/>
      <c r="D2132" s="225" t="s">
        <v>458</v>
      </c>
      <c r="E2132" s="244"/>
      <c r="G2132" s="352"/>
      <c r="H2132" s="352"/>
    </row>
    <row r="2133" spans="2:8" ht="12.75">
      <c r="B2133" s="166"/>
      <c r="C2133" s="245"/>
      <c r="D2133" s="244"/>
      <c r="E2133" s="244"/>
      <c r="G2133" s="352"/>
      <c r="H2133" s="353"/>
    </row>
    <row r="2134" spans="2:8" ht="12.75">
      <c r="B2134" s="253"/>
      <c r="C2134" s="227">
        <v>103110</v>
      </c>
      <c r="D2134" s="222" t="s">
        <v>459</v>
      </c>
      <c r="E2134" s="244"/>
      <c r="G2134" s="352"/>
      <c r="H2134" s="352"/>
    </row>
    <row r="2135" spans="1:8" ht="12.75">
      <c r="A2135" s="334" t="s">
        <v>1622</v>
      </c>
      <c r="B2135" s="166"/>
      <c r="C2135" s="252"/>
      <c r="D2135" s="166" t="s">
        <v>1623</v>
      </c>
      <c r="E2135" s="244"/>
      <c r="G2135" s="352">
        <f>G8</f>
        <v>276382037</v>
      </c>
      <c r="H2135" s="352">
        <v>272010529</v>
      </c>
    </row>
    <row r="2136" spans="1:8" ht="15">
      <c r="A2136" s="334" t="s">
        <v>1626</v>
      </c>
      <c r="B2136" s="166"/>
      <c r="C2136" s="252"/>
      <c r="D2136" s="166" t="s">
        <v>1640</v>
      </c>
      <c r="E2136" s="244"/>
      <c r="G2136" s="354">
        <f>G10</f>
        <v>1150320235</v>
      </c>
      <c r="H2136" s="354">
        <v>1101568077</v>
      </c>
    </row>
    <row r="2137" spans="2:8" ht="12.75">
      <c r="B2137" s="166"/>
      <c r="C2137" s="245"/>
      <c r="D2137" s="222" t="s">
        <v>943</v>
      </c>
      <c r="E2137" s="222"/>
      <c r="G2137" s="353">
        <f>SUM(G2135:G2136)</f>
        <v>1426702272</v>
      </c>
      <c r="H2137" s="353">
        <f>SUM(H2135:H2136)</f>
        <v>1373578606</v>
      </c>
    </row>
    <row r="2138" spans="2:8" ht="12.75">
      <c r="B2138" s="166"/>
      <c r="C2138" s="245"/>
      <c r="D2138" s="244"/>
      <c r="E2138" s="244"/>
      <c r="G2138" s="352"/>
      <c r="H2138" s="352"/>
    </row>
    <row r="2139" spans="2:8" ht="12.75">
      <c r="B2139" s="253"/>
      <c r="C2139" s="227">
        <v>103130</v>
      </c>
      <c r="D2139" s="222" t="s">
        <v>77</v>
      </c>
      <c r="E2139" s="244"/>
      <c r="G2139" s="352"/>
      <c r="H2139" s="352"/>
    </row>
    <row r="2140" spans="1:8" ht="12.75">
      <c r="A2140" s="334" t="s">
        <v>1624</v>
      </c>
      <c r="B2140" s="166"/>
      <c r="C2140" s="252"/>
      <c r="D2140" s="166" t="s">
        <v>1625</v>
      </c>
      <c r="E2140" s="244"/>
      <c r="G2140" s="352">
        <f>H9</f>
        <v>61319506</v>
      </c>
      <c r="H2140" s="352">
        <v>55443723</v>
      </c>
    </row>
    <row r="2141" spans="1:8" ht="15">
      <c r="A2141" s="334" t="s">
        <v>1641</v>
      </c>
      <c r="B2141" s="166"/>
      <c r="C2141" s="252"/>
      <c r="D2141" s="166" t="s">
        <v>1642</v>
      </c>
      <c r="E2141" s="244"/>
      <c r="G2141" s="354">
        <f>H11</f>
        <v>366425750</v>
      </c>
      <c r="H2141" s="251">
        <v>320845920</v>
      </c>
    </row>
    <row r="2142" spans="2:8" ht="12.75">
      <c r="B2142" s="166"/>
      <c r="C2142" s="245"/>
      <c r="D2142" s="222" t="s">
        <v>943</v>
      </c>
      <c r="E2142" s="222"/>
      <c r="G2142" s="353">
        <f>SUM(G2140:G2141)</f>
        <v>427745256</v>
      </c>
      <c r="H2142" s="353">
        <f>SUM(H2140:H2141)</f>
        <v>376289643</v>
      </c>
    </row>
    <row r="2143" spans="2:8" ht="12.75">
      <c r="B2143" s="166"/>
      <c r="C2143" s="245"/>
      <c r="D2143" s="244"/>
      <c r="E2143" s="244"/>
      <c r="G2143" s="352"/>
      <c r="H2143" s="352"/>
    </row>
    <row r="2144" spans="2:8" ht="15">
      <c r="B2144" s="341"/>
      <c r="C2144" s="221">
        <v>103200</v>
      </c>
      <c r="D2144" s="222" t="s">
        <v>1405</v>
      </c>
      <c r="E2144" s="222"/>
      <c r="G2144" s="351">
        <f>G2137-G2142</f>
        <v>998957016</v>
      </c>
      <c r="H2144" s="351">
        <f>H2137-H2142</f>
        <v>997288963</v>
      </c>
    </row>
    <row r="2145" spans="2:8" ht="12.75">
      <c r="B2145" s="341"/>
      <c r="C2145" s="221"/>
      <c r="D2145" s="222"/>
      <c r="E2145" s="222"/>
      <c r="G2145" s="353"/>
      <c r="H2145" s="352"/>
    </row>
    <row r="2146" spans="2:8" ht="12.75">
      <c r="B2146" s="166"/>
      <c r="C2146" s="245">
        <v>103310</v>
      </c>
      <c r="D2146" s="222" t="s">
        <v>656</v>
      </c>
      <c r="E2146" s="244"/>
      <c r="G2146" s="352"/>
      <c r="H2146" s="352"/>
    </row>
    <row r="2147" spans="1:8" ht="12.75">
      <c r="A2147" s="334" t="s">
        <v>1643</v>
      </c>
      <c r="B2147" s="166"/>
      <c r="C2147" s="252"/>
      <c r="D2147" s="166" t="s">
        <v>1644</v>
      </c>
      <c r="E2147" s="244"/>
      <c r="G2147" s="352">
        <f>G12</f>
        <v>31152063481</v>
      </c>
      <c r="H2147" s="352">
        <v>29632987570</v>
      </c>
    </row>
    <row r="2148" spans="1:8" ht="15">
      <c r="A2148" s="334" t="s">
        <v>1584</v>
      </c>
      <c r="B2148" s="166"/>
      <c r="C2148" s="252"/>
      <c r="D2148" s="364" t="s">
        <v>1583</v>
      </c>
      <c r="E2148" s="244"/>
      <c r="G2148" s="354">
        <f>G21</f>
        <v>420601175</v>
      </c>
      <c r="H2148" s="354">
        <v>612358410</v>
      </c>
    </row>
    <row r="2149" spans="2:8" ht="12.75">
      <c r="B2149" s="166"/>
      <c r="C2149" s="245"/>
      <c r="D2149" s="222" t="s">
        <v>943</v>
      </c>
      <c r="E2149" s="222"/>
      <c r="G2149" s="353">
        <f>SUM(G2147:G2148)</f>
        <v>31572664656</v>
      </c>
      <c r="H2149" s="353">
        <f>SUM(H2147:H2148)</f>
        <v>30245345980</v>
      </c>
    </row>
    <row r="2150" spans="2:8" ht="12.75">
      <c r="B2150" s="166"/>
      <c r="C2150" s="245"/>
      <c r="D2150" s="244"/>
      <c r="E2150" s="244"/>
      <c r="G2150" s="352"/>
      <c r="H2150" s="352"/>
    </row>
    <row r="2151" spans="2:8" ht="12.75">
      <c r="B2151" s="166"/>
      <c r="C2151" s="245">
        <v>103330</v>
      </c>
      <c r="D2151" s="222" t="s">
        <v>657</v>
      </c>
      <c r="E2151" s="244"/>
      <c r="G2151" s="352"/>
      <c r="H2151" s="352"/>
    </row>
    <row r="2152" spans="1:8" ht="12.75">
      <c r="A2152" s="334" t="s">
        <v>1645</v>
      </c>
      <c r="B2152" s="166"/>
      <c r="C2152" s="252"/>
      <c r="D2152" s="166" t="s">
        <v>918</v>
      </c>
      <c r="E2152" s="244"/>
      <c r="G2152" s="352">
        <f>H13-G13</f>
        <v>11182120418</v>
      </c>
      <c r="H2152" s="349">
        <v>6750999933</v>
      </c>
    </row>
    <row r="2153" spans="1:8" ht="15">
      <c r="A2153" s="334" t="s">
        <v>1584</v>
      </c>
      <c r="B2153" s="166"/>
      <c r="C2153" s="252"/>
      <c r="D2153" s="364" t="s">
        <v>1583</v>
      </c>
      <c r="E2153" s="244"/>
      <c r="G2153" s="354">
        <v>0</v>
      </c>
      <c r="H2153" s="354">
        <v>0</v>
      </c>
    </row>
    <row r="2154" spans="2:8" ht="12.75">
      <c r="B2154" s="166"/>
      <c r="C2154" s="245"/>
      <c r="D2154" s="222" t="s">
        <v>943</v>
      </c>
      <c r="E2154" s="222"/>
      <c r="G2154" s="353">
        <f>SUM(G2152:G2153)</f>
        <v>11182120418</v>
      </c>
      <c r="H2154" s="353">
        <f>SUM(H2152:H2153)</f>
        <v>6750999933</v>
      </c>
    </row>
    <row r="2155" spans="2:8" ht="12.75">
      <c r="B2155" s="166"/>
      <c r="C2155" s="245"/>
      <c r="D2155" s="244"/>
      <c r="E2155" s="244"/>
      <c r="G2155" s="352"/>
      <c r="H2155" s="352"/>
    </row>
    <row r="2156" spans="2:8" ht="15">
      <c r="B2156" s="341"/>
      <c r="C2156" s="221">
        <v>103400</v>
      </c>
      <c r="D2156" s="222" t="s">
        <v>658</v>
      </c>
      <c r="E2156" s="244"/>
      <c r="G2156" s="351">
        <f>G2149-G2154</f>
        <v>20390544238</v>
      </c>
      <c r="H2156" s="351">
        <f>H2149-H2154</f>
        <v>23494346047</v>
      </c>
    </row>
    <row r="2157" spans="2:8" ht="12.75">
      <c r="B2157" s="166"/>
      <c r="C2157" s="245"/>
      <c r="D2157" s="244"/>
      <c r="E2157" s="244"/>
      <c r="G2157" s="352"/>
      <c r="H2157" s="353"/>
    </row>
    <row r="2158" spans="2:8" ht="12.75">
      <c r="B2158" s="166"/>
      <c r="C2158" s="245">
        <v>103510</v>
      </c>
      <c r="D2158" s="222" t="s">
        <v>1118</v>
      </c>
      <c r="E2158" s="244"/>
      <c r="G2158" s="352"/>
      <c r="H2158" s="352"/>
    </row>
    <row r="2159" spans="1:8" ht="12.75">
      <c r="A2159" s="334" t="s">
        <v>923</v>
      </c>
      <c r="B2159" s="166"/>
      <c r="C2159" s="252"/>
      <c r="D2159" s="166" t="s">
        <v>924</v>
      </c>
      <c r="E2159" s="244"/>
      <c r="G2159" s="352">
        <f>G14</f>
        <v>2794598387</v>
      </c>
      <c r="H2159" s="349">
        <v>2387540104</v>
      </c>
    </row>
    <row r="2160" spans="1:8" ht="12.75">
      <c r="A2160" s="334" t="s">
        <v>927</v>
      </c>
      <c r="B2160" s="166"/>
      <c r="C2160" s="252"/>
      <c r="D2160" s="166" t="s">
        <v>928</v>
      </c>
      <c r="E2160" s="244"/>
      <c r="G2160" s="352">
        <f>G16</f>
        <v>873260339</v>
      </c>
      <c r="H2160" s="349">
        <v>809494703</v>
      </c>
    </row>
    <row r="2161" spans="1:8" ht="12.75">
      <c r="A2161" s="334" t="s">
        <v>931</v>
      </c>
      <c r="B2161" s="166"/>
      <c r="C2161" s="252"/>
      <c r="D2161" s="253" t="s">
        <v>932</v>
      </c>
      <c r="E2161" s="244"/>
      <c r="G2161" s="352">
        <f>G18</f>
        <v>646323418</v>
      </c>
      <c r="H2161" s="349">
        <v>585279949</v>
      </c>
    </row>
    <row r="2162" spans="5:8" ht="15">
      <c r="E2162" s="244"/>
      <c r="G2162" s="350">
        <v>0</v>
      </c>
      <c r="H2162" s="350">
        <v>0</v>
      </c>
    </row>
    <row r="2163" spans="2:8" ht="15">
      <c r="B2163" s="166"/>
      <c r="C2163" s="245"/>
      <c r="D2163" s="222" t="s">
        <v>943</v>
      </c>
      <c r="E2163" s="222"/>
      <c r="G2163" s="365">
        <f>SUM(G2159:G2162)</f>
        <v>4314182144</v>
      </c>
      <c r="H2163" s="365">
        <f>SUM(H2159:H2162)</f>
        <v>3782314756</v>
      </c>
    </row>
    <row r="2164" spans="2:8" ht="12.75">
      <c r="B2164" s="166"/>
      <c r="C2164" s="245"/>
      <c r="D2164" s="244"/>
      <c r="E2164" s="244"/>
      <c r="G2164" s="352"/>
      <c r="H2164" s="353"/>
    </row>
    <row r="2165" spans="2:8" ht="12.75">
      <c r="B2165" s="166"/>
      <c r="C2165" s="245">
        <v>103530</v>
      </c>
      <c r="D2165" s="222" t="s">
        <v>1119</v>
      </c>
      <c r="E2165" s="244"/>
      <c r="G2165" s="352"/>
      <c r="H2165" s="352"/>
    </row>
    <row r="2166" spans="1:8" ht="12.75">
      <c r="A2166" s="334" t="s">
        <v>925</v>
      </c>
      <c r="B2166" s="166"/>
      <c r="C2166" s="252"/>
      <c r="D2166" s="166" t="s">
        <v>926</v>
      </c>
      <c r="E2166" s="244"/>
      <c r="G2166" s="352">
        <f>H15</f>
        <v>1942749810</v>
      </c>
      <c r="H2166" s="352">
        <v>1715936708</v>
      </c>
    </row>
    <row r="2167" spans="1:8" ht="12.75">
      <c r="A2167" s="334" t="s">
        <v>929</v>
      </c>
      <c r="B2167" s="166"/>
      <c r="C2167" s="252"/>
      <c r="D2167" s="166" t="s">
        <v>930</v>
      </c>
      <c r="E2167" s="244"/>
      <c r="G2167" s="352">
        <f>H17</f>
        <v>665200101</v>
      </c>
      <c r="H2167" s="352">
        <v>538814564</v>
      </c>
    </row>
    <row r="2168" spans="1:8" ht="12.75">
      <c r="A2168" s="334" t="s">
        <v>929</v>
      </c>
      <c r="B2168" s="166"/>
      <c r="C2168" s="252"/>
      <c r="D2168" s="166" t="s">
        <v>934</v>
      </c>
      <c r="E2168" s="244"/>
      <c r="G2168" s="352">
        <f>H19</f>
        <v>664663555</v>
      </c>
      <c r="H2168" s="352">
        <v>539776800</v>
      </c>
    </row>
    <row r="2169" spans="1:8" ht="12.75">
      <c r="A2169" s="334" t="s">
        <v>1586</v>
      </c>
      <c r="B2169" s="166"/>
      <c r="C2169" s="252"/>
      <c r="D2169" s="166"/>
      <c r="E2169" s="244"/>
      <c r="G2169" s="352"/>
      <c r="H2169" s="349"/>
    </row>
    <row r="2170" spans="2:8" ht="12.75">
      <c r="B2170" s="166"/>
      <c r="C2170" s="245"/>
      <c r="D2170" s="222" t="s">
        <v>943</v>
      </c>
      <c r="E2170" s="222"/>
      <c r="G2170" s="353">
        <f>SUM(G2166:G2169)</f>
        <v>3272613466</v>
      </c>
      <c r="H2170" s="353">
        <f>SUM(H2166:H2169)</f>
        <v>2794528072</v>
      </c>
    </row>
    <row r="2171" spans="2:8" ht="12.75">
      <c r="B2171" s="166"/>
      <c r="C2171" s="245"/>
      <c r="D2171" s="244"/>
      <c r="E2171" s="244"/>
      <c r="G2171" s="352"/>
      <c r="H2171" s="352"/>
    </row>
    <row r="2172" spans="2:8" ht="15">
      <c r="B2172" s="341"/>
      <c r="C2172" s="221">
        <v>103600</v>
      </c>
      <c r="D2172" s="222" t="s">
        <v>1120</v>
      </c>
      <c r="E2172" s="244"/>
      <c r="G2172" s="351">
        <f>G2163-G2170</f>
        <v>1041568678</v>
      </c>
      <c r="H2172" s="351">
        <f>H2163-H2170</f>
        <v>987786684</v>
      </c>
    </row>
    <row r="2173" spans="2:8" ht="12.75">
      <c r="B2173" s="166"/>
      <c r="C2173" s="245"/>
      <c r="D2173" s="244"/>
      <c r="E2173" s="244"/>
      <c r="G2173" s="352"/>
      <c r="H2173" s="352"/>
    </row>
    <row r="2174" spans="2:8" ht="12.75">
      <c r="B2174" s="166"/>
      <c r="C2174" s="245">
        <v>103800</v>
      </c>
      <c r="D2174" s="222" t="s">
        <v>662</v>
      </c>
      <c r="E2174" s="244"/>
      <c r="G2174" s="352"/>
      <c r="H2174" s="352"/>
    </row>
    <row r="2175" spans="1:8" ht="15">
      <c r="A2175" s="334" t="s">
        <v>1580</v>
      </c>
      <c r="B2175" s="166"/>
      <c r="C2175" s="252"/>
      <c r="D2175" s="166" t="s">
        <v>1581</v>
      </c>
      <c r="E2175" s="244"/>
      <c r="G2175" s="350">
        <f>G20</f>
        <v>4657729712</v>
      </c>
      <c r="H2175" s="350">
        <v>1440867657</v>
      </c>
    </row>
    <row r="2176" spans="2:8" ht="15">
      <c r="B2176" s="166"/>
      <c r="C2176" s="245"/>
      <c r="D2176" s="222" t="s">
        <v>943</v>
      </c>
      <c r="E2176" s="244"/>
      <c r="G2176" s="351">
        <f>SUM(G2175)</f>
        <v>4657729712</v>
      </c>
      <c r="H2176" s="351">
        <f>SUM(H2175)</f>
        <v>1440867657</v>
      </c>
    </row>
    <row r="2177" spans="2:8" ht="12.75">
      <c r="B2177" s="166"/>
      <c r="C2177" s="245"/>
      <c r="D2177" s="244"/>
      <c r="E2177" s="244"/>
      <c r="G2177" s="352"/>
      <c r="H2177" s="352"/>
    </row>
    <row r="2178" spans="2:8" ht="12.75">
      <c r="B2178" s="166"/>
      <c r="C2178" s="245"/>
      <c r="D2178" s="244"/>
      <c r="E2178" s="244"/>
      <c r="G2178" s="352"/>
      <c r="H2178" s="353"/>
    </row>
    <row r="2179" spans="2:8" ht="12.75">
      <c r="B2179" s="341"/>
      <c r="C2179" s="221">
        <v>133200</v>
      </c>
      <c r="D2179" s="222" t="s">
        <v>1121</v>
      </c>
      <c r="E2179" s="244"/>
      <c r="G2179" s="352"/>
      <c r="H2179" s="352"/>
    </row>
    <row r="2180" spans="1:8" ht="12.75">
      <c r="A2180" s="334" t="s">
        <v>1588</v>
      </c>
      <c r="B2180" s="166"/>
      <c r="C2180" s="252"/>
      <c r="D2180" s="166" t="s">
        <v>511</v>
      </c>
      <c r="E2180" s="244"/>
      <c r="G2180" s="352">
        <f>G24-H24</f>
        <v>0</v>
      </c>
      <c r="H2180" s="352">
        <v>34900000</v>
      </c>
    </row>
    <row r="2181" spans="2:8" ht="12.75">
      <c r="B2181" s="166"/>
      <c r="C2181" s="245"/>
      <c r="D2181" s="166"/>
      <c r="E2181" s="244"/>
      <c r="G2181" s="352"/>
      <c r="H2181" s="352"/>
    </row>
    <row r="2182" spans="2:8" ht="12.75">
      <c r="B2182" s="166"/>
      <c r="C2182" s="245"/>
      <c r="D2182" s="222" t="s">
        <v>943</v>
      </c>
      <c r="E2182" s="244"/>
      <c r="G2182" s="358">
        <f>SUM(G2180:G2181)</f>
        <v>0</v>
      </c>
      <c r="H2182" s="358">
        <f>SUM(H2180:H2181)</f>
        <v>34900000</v>
      </c>
    </row>
    <row r="2183" spans="2:8" ht="12.75">
      <c r="B2183" s="166"/>
      <c r="C2183" s="245"/>
      <c r="E2183" s="244"/>
      <c r="G2183" s="352"/>
      <c r="H2183" s="352"/>
    </row>
    <row r="2184" spans="2:8" ht="12.75">
      <c r="B2184" s="166"/>
      <c r="C2184" s="245"/>
      <c r="D2184" s="244"/>
      <c r="E2184" s="244"/>
      <c r="G2184" s="352"/>
      <c r="H2184" s="352"/>
    </row>
    <row r="2185" spans="2:8" ht="12.75">
      <c r="B2185" s="166"/>
      <c r="C2185" s="245"/>
      <c r="D2185" s="225" t="s">
        <v>603</v>
      </c>
      <c r="E2185" s="244"/>
      <c r="G2185" s="352"/>
      <c r="H2185" s="353"/>
    </row>
    <row r="2186" spans="2:8" ht="12.75">
      <c r="B2186" s="341"/>
      <c r="C2186" s="221">
        <v>142000</v>
      </c>
      <c r="D2186" s="222" t="s">
        <v>1116</v>
      </c>
      <c r="E2186" s="244"/>
      <c r="G2186" s="352"/>
      <c r="H2186" s="352"/>
    </row>
    <row r="2187" spans="1:8" ht="12.75">
      <c r="A2187" s="334" t="s">
        <v>512</v>
      </c>
      <c r="B2187" s="166"/>
      <c r="C2187" s="252"/>
      <c r="D2187" s="166" t="s">
        <v>513</v>
      </c>
      <c r="E2187" s="244"/>
      <c r="G2187" s="352">
        <f aca="true" t="shared" si="32" ref="G2187:G2192">G25-H25</f>
        <v>0</v>
      </c>
      <c r="H2187" s="352">
        <v>0</v>
      </c>
    </row>
    <row r="2188" spans="1:8" ht="12.75">
      <c r="A2188" s="334" t="s">
        <v>514</v>
      </c>
      <c r="B2188" s="166"/>
      <c r="C2188" s="252"/>
      <c r="D2188" s="166" t="s">
        <v>515</v>
      </c>
      <c r="E2188" s="244"/>
      <c r="G2188" s="352">
        <f t="shared" si="32"/>
        <v>0</v>
      </c>
      <c r="H2188" s="352">
        <v>0</v>
      </c>
    </row>
    <row r="2189" spans="1:8" ht="12.75">
      <c r="A2189" s="334" t="s">
        <v>516</v>
      </c>
      <c r="B2189" s="166"/>
      <c r="C2189" s="252"/>
      <c r="D2189" s="166" t="s">
        <v>517</v>
      </c>
      <c r="E2189" s="244"/>
      <c r="G2189" s="352">
        <f t="shared" si="32"/>
        <v>2838799511</v>
      </c>
      <c r="H2189" s="352">
        <v>1060081590</v>
      </c>
    </row>
    <row r="2190" spans="1:8" ht="12.75">
      <c r="A2190" s="334" t="s">
        <v>651</v>
      </c>
      <c r="B2190" s="166"/>
      <c r="C2190" s="252"/>
      <c r="D2190" s="348" t="s">
        <v>652</v>
      </c>
      <c r="E2190" s="244"/>
      <c r="G2190" s="352">
        <f t="shared" si="32"/>
        <v>1138305933</v>
      </c>
      <c r="H2190" s="352"/>
    </row>
    <row r="2191" spans="1:8" ht="12.75">
      <c r="A2191" s="334" t="s">
        <v>518</v>
      </c>
      <c r="B2191" s="166"/>
      <c r="C2191" s="252"/>
      <c r="D2191" s="166" t="s">
        <v>1122</v>
      </c>
      <c r="E2191" s="244"/>
      <c r="G2191" s="352">
        <f t="shared" si="32"/>
        <v>112993692</v>
      </c>
      <c r="H2191" s="352">
        <v>171512493</v>
      </c>
    </row>
    <row r="2192" spans="1:8" ht="12.75">
      <c r="A2192" s="334" t="s">
        <v>520</v>
      </c>
      <c r="B2192" s="166"/>
      <c r="C2192" s="252"/>
      <c r="D2192" s="166" t="s">
        <v>1123</v>
      </c>
      <c r="E2192" s="244"/>
      <c r="G2192" s="352">
        <f t="shared" si="32"/>
        <v>29083654</v>
      </c>
      <c r="H2192" s="352">
        <v>61056773</v>
      </c>
    </row>
    <row r="2193" spans="1:8" ht="12.75">
      <c r="A2193" s="334" t="s">
        <v>1844</v>
      </c>
      <c r="B2193" s="166"/>
      <c r="C2193" s="252"/>
      <c r="D2193" s="166" t="s">
        <v>1845</v>
      </c>
      <c r="E2193" s="244"/>
      <c r="G2193" s="352">
        <f aca="true" t="shared" si="33" ref="G2193:G2201">G37-H37</f>
        <v>5938471293</v>
      </c>
      <c r="H2193" s="352">
        <v>6269854396</v>
      </c>
    </row>
    <row r="2194" spans="1:8" ht="12.75">
      <c r="A2194" s="334" t="s">
        <v>1848</v>
      </c>
      <c r="B2194" s="166"/>
      <c r="C2194" s="252"/>
      <c r="D2194" s="348" t="s">
        <v>1124</v>
      </c>
      <c r="E2194" s="244"/>
      <c r="G2194" s="352">
        <f t="shared" si="33"/>
        <v>20631875</v>
      </c>
      <c r="H2194" s="352">
        <v>0</v>
      </c>
    </row>
    <row r="2195" spans="1:8" ht="12.75">
      <c r="A2195" s="334" t="s">
        <v>1848</v>
      </c>
      <c r="B2195" s="166"/>
      <c r="C2195" s="252"/>
      <c r="D2195" s="253" t="s">
        <v>1737</v>
      </c>
      <c r="E2195" s="244"/>
      <c r="G2195" s="352">
        <f t="shared" si="33"/>
        <v>132013350</v>
      </c>
      <c r="H2195" s="352">
        <v>350792909</v>
      </c>
    </row>
    <row r="2196" spans="1:8" ht="12.75">
      <c r="A2196" s="334" t="s">
        <v>1850</v>
      </c>
      <c r="B2196" s="166"/>
      <c r="C2196" s="252"/>
      <c r="D2196" s="253" t="s">
        <v>1851</v>
      </c>
      <c r="E2196" s="244"/>
      <c r="G2196" s="352">
        <f t="shared" si="33"/>
        <v>52821195</v>
      </c>
      <c r="H2196" s="352">
        <v>30653842</v>
      </c>
    </row>
    <row r="2197" spans="1:8" ht="12.75">
      <c r="A2197" s="334" t="s">
        <v>1852</v>
      </c>
      <c r="B2197" s="166"/>
      <c r="C2197" s="252"/>
      <c r="D2197" s="253" t="s">
        <v>1853</v>
      </c>
      <c r="E2197" s="244"/>
      <c r="F2197" s="196"/>
      <c r="G2197" s="352">
        <f t="shared" si="33"/>
        <v>34430185</v>
      </c>
      <c r="H2197" s="352">
        <v>27517384</v>
      </c>
    </row>
    <row r="2198" spans="1:8" ht="12.75">
      <c r="A2198" s="334" t="s">
        <v>1854</v>
      </c>
      <c r="B2198" s="166"/>
      <c r="C2198" s="252"/>
      <c r="D2198" s="253" t="s">
        <v>1855</v>
      </c>
      <c r="E2198" s="244"/>
      <c r="G2198" s="352">
        <f t="shared" si="33"/>
        <v>426460261.56</v>
      </c>
      <c r="H2198" s="352">
        <v>215842328</v>
      </c>
    </row>
    <row r="2199" spans="1:8" ht="12.75">
      <c r="A2199" s="334" t="s">
        <v>1856</v>
      </c>
      <c r="B2199" s="166"/>
      <c r="C2199" s="252"/>
      <c r="D2199" s="166" t="s">
        <v>1857</v>
      </c>
      <c r="E2199" s="244"/>
      <c r="G2199" s="352">
        <f t="shared" si="33"/>
        <v>220595</v>
      </c>
      <c r="H2199" s="352">
        <v>230621</v>
      </c>
    </row>
    <row r="2200" spans="1:8" ht="12.75">
      <c r="A2200" s="334" t="s">
        <v>1858</v>
      </c>
      <c r="B2200" s="166"/>
      <c r="C2200" s="252"/>
      <c r="D2200" s="166" t="s">
        <v>1916</v>
      </c>
      <c r="E2200" s="244"/>
      <c r="G2200" s="352">
        <f t="shared" si="33"/>
        <v>383028698</v>
      </c>
      <c r="H2200" s="352">
        <v>1628439083</v>
      </c>
    </row>
    <row r="2201" spans="1:8" ht="15">
      <c r="A2201" s="334" t="s">
        <v>1917</v>
      </c>
      <c r="B2201" s="166"/>
      <c r="C2201" s="166"/>
      <c r="D2201" s="166" t="s">
        <v>1918</v>
      </c>
      <c r="E2201" s="244"/>
      <c r="G2201" s="354">
        <f t="shared" si="33"/>
        <v>-198292148</v>
      </c>
      <c r="H2201" s="350">
        <v>-198292148</v>
      </c>
    </row>
    <row r="2202" spans="2:8" ht="12.75">
      <c r="B2202" s="166"/>
      <c r="C2202" s="245"/>
      <c r="D2202" s="244"/>
      <c r="E2202" s="244"/>
      <c r="G2202" s="352"/>
      <c r="H2202" s="352"/>
    </row>
    <row r="2203" spans="2:8" ht="15">
      <c r="B2203" s="166"/>
      <c r="C2203" s="245"/>
      <c r="D2203" s="236" t="s">
        <v>943</v>
      </c>
      <c r="E2203" s="236"/>
      <c r="F2203" s="236"/>
      <c r="G2203" s="351">
        <f>SUM(G2187:G2202)</f>
        <v>10908968094.56</v>
      </c>
      <c r="H2203" s="351">
        <f>SUM(H2187:H2202)</f>
        <v>9617689271</v>
      </c>
    </row>
    <row r="2204" spans="2:8" ht="12.75">
      <c r="B2204" s="166"/>
      <c r="C2204" s="245"/>
      <c r="D2204" s="244"/>
      <c r="E2204" s="244"/>
      <c r="G2204" s="352"/>
      <c r="H2204" s="352"/>
    </row>
    <row r="2205" spans="2:8" ht="12.75">
      <c r="B2205" s="166"/>
      <c r="C2205" s="245"/>
      <c r="D2205" s="244"/>
      <c r="E2205" s="244"/>
      <c r="G2205" s="352"/>
      <c r="H2205" s="352"/>
    </row>
    <row r="2206" spans="2:8" ht="12.75">
      <c r="B2206" s="341"/>
      <c r="C2206" s="221">
        <v>144000</v>
      </c>
      <c r="D2206" s="222" t="s">
        <v>1117</v>
      </c>
      <c r="E2206" s="244"/>
      <c r="G2206" s="352"/>
      <c r="H2206" s="352"/>
    </row>
    <row r="2207" spans="1:8" ht="12.75">
      <c r="A2207" s="334"/>
      <c r="B2207" s="166"/>
      <c r="C2207" s="252"/>
      <c r="D2207" s="166"/>
      <c r="E2207" s="244"/>
      <c r="G2207" s="352"/>
      <c r="H2207" s="352"/>
    </row>
    <row r="2208" spans="1:8" ht="12.75">
      <c r="A2208" s="334"/>
      <c r="B2208" s="166"/>
      <c r="C2208" s="252"/>
      <c r="D2208" s="166"/>
      <c r="E2208" s="244"/>
      <c r="G2208" s="352"/>
      <c r="H2208" s="352"/>
    </row>
    <row r="2209" spans="1:8" ht="12.75">
      <c r="A2209" s="334" t="s">
        <v>1664</v>
      </c>
      <c r="B2209" s="166"/>
      <c r="C2209" s="252"/>
      <c r="D2209" s="166" t="s">
        <v>1665</v>
      </c>
      <c r="E2209" s="244"/>
      <c r="G2209" s="352">
        <f>G31-H31</f>
        <v>15795766</v>
      </c>
      <c r="H2209" s="352">
        <v>63565593</v>
      </c>
    </row>
    <row r="2210" spans="1:8" ht="12.75">
      <c r="A2210" s="334" t="s">
        <v>1666</v>
      </c>
      <c r="B2210" s="166"/>
      <c r="C2210" s="252"/>
      <c r="D2210" s="166" t="s">
        <v>1667</v>
      </c>
      <c r="E2210" s="244"/>
      <c r="G2210" s="352">
        <f>G32-H32</f>
        <v>1624826500</v>
      </c>
      <c r="H2210" s="349">
        <v>1169391421</v>
      </c>
    </row>
    <row r="2211" spans="1:8" ht="12.75">
      <c r="A2211" s="334" t="s">
        <v>1668</v>
      </c>
      <c r="B2211" s="166"/>
      <c r="C2211" s="252"/>
      <c r="D2211" s="166" t="s">
        <v>1669</v>
      </c>
      <c r="E2211" s="244"/>
      <c r="G2211" s="352">
        <f>G33-H33</f>
        <v>3551106</v>
      </c>
      <c r="H2211" s="352">
        <v>26898496</v>
      </c>
    </row>
    <row r="2212" spans="1:8" ht="15">
      <c r="A2212" s="334" t="s">
        <v>1670</v>
      </c>
      <c r="B2212" s="166"/>
      <c r="C2212" s="252"/>
      <c r="D2212" s="166" t="s">
        <v>1671</v>
      </c>
      <c r="E2212" s="222"/>
      <c r="G2212" s="352">
        <f>G34-H34</f>
        <v>29326260</v>
      </c>
      <c r="H2212" s="350">
        <v>83377842</v>
      </c>
    </row>
    <row r="2213" spans="2:8" ht="12.75">
      <c r="B2213" s="166"/>
      <c r="C2213" s="245"/>
      <c r="D2213" s="244"/>
      <c r="E2213" s="244"/>
      <c r="G2213" s="352"/>
      <c r="H2213" s="352"/>
    </row>
    <row r="2214" spans="4:8" ht="15">
      <c r="D2214" s="236" t="s">
        <v>943</v>
      </c>
      <c r="E2214" s="236"/>
      <c r="F2214" s="236"/>
      <c r="G2214" s="351">
        <f>SUM(G2207:G2213)</f>
        <v>1673499632</v>
      </c>
      <c r="H2214" s="351">
        <f>SUM(H2207:H2213)</f>
        <v>1343233352</v>
      </c>
    </row>
    <row r="2215" spans="2:8" ht="12.75">
      <c r="B2215" s="166"/>
      <c r="C2215" s="245"/>
      <c r="D2215" s="244"/>
      <c r="E2215" s="244"/>
      <c r="G2215" s="352"/>
      <c r="H2215" s="352"/>
    </row>
    <row r="2216" spans="2:8" ht="12.75">
      <c r="B2216" s="166"/>
      <c r="C2216" s="245"/>
      <c r="D2216" s="244"/>
      <c r="E2216" s="244"/>
      <c r="G2216" s="352"/>
      <c r="H2216" s="352"/>
    </row>
    <row r="2217" spans="2:8" ht="12.75">
      <c r="B2217" s="341"/>
      <c r="C2217" s="221">
        <v>146000</v>
      </c>
      <c r="D2217" s="222" t="s">
        <v>1125</v>
      </c>
      <c r="E2217" s="244"/>
      <c r="G2217" s="352"/>
      <c r="H2217" s="352"/>
    </row>
    <row r="2218" spans="1:8" ht="12.75">
      <c r="A2218" s="334" t="s">
        <v>1840</v>
      </c>
      <c r="B2218" s="166"/>
      <c r="C2218" s="252"/>
      <c r="D2218" s="166" t="s">
        <v>1841</v>
      </c>
      <c r="E2218" s="244"/>
      <c r="G2218" s="352">
        <f>G35-H35</f>
        <v>419870678</v>
      </c>
      <c r="H2218" s="352">
        <v>17896200</v>
      </c>
    </row>
    <row r="2219" spans="1:8" ht="15">
      <c r="A2219" s="334" t="s">
        <v>1842</v>
      </c>
      <c r="B2219" s="166"/>
      <c r="C2219" s="252"/>
      <c r="D2219" s="166" t="s">
        <v>1843</v>
      </c>
      <c r="E2219" s="244"/>
      <c r="G2219" s="354">
        <f>G36-H36</f>
        <v>174920928</v>
      </c>
      <c r="H2219" s="350">
        <v>122171392</v>
      </c>
    </row>
    <row r="2220" spans="2:8" ht="12.75">
      <c r="B2220" s="166"/>
      <c r="C2220" s="245"/>
      <c r="D2220" s="244"/>
      <c r="E2220" s="244"/>
      <c r="G2220" s="352"/>
      <c r="H2220" s="352"/>
    </row>
    <row r="2221" spans="2:8" ht="15">
      <c r="B2221" s="166"/>
      <c r="C2221" s="245"/>
      <c r="D2221" s="236" t="s">
        <v>943</v>
      </c>
      <c r="E2221" s="236"/>
      <c r="F2221" s="225"/>
      <c r="G2221" s="351">
        <f>SUM(G2218:G2220)</f>
        <v>594791606</v>
      </c>
      <c r="H2221" s="351">
        <f>SUM(H2218:H2220)</f>
        <v>140067592</v>
      </c>
    </row>
    <row r="2222" spans="2:8" ht="12.75">
      <c r="B2222" s="166"/>
      <c r="C2222" s="245"/>
      <c r="D2222" s="244"/>
      <c r="E2222" s="244"/>
      <c r="G2222" s="352"/>
      <c r="H2222" s="352"/>
    </row>
    <row r="2223" spans="5:8" ht="12.75">
      <c r="E2223" s="244"/>
      <c r="G2223" s="352"/>
      <c r="H2223" s="352"/>
    </row>
    <row r="2224" spans="2:8" ht="12.75">
      <c r="B2224" s="166"/>
      <c r="C2224" s="245">
        <v>151200</v>
      </c>
      <c r="D2224" s="222" t="s">
        <v>420</v>
      </c>
      <c r="E2224" s="244"/>
      <c r="G2224" s="352"/>
      <c r="H2224" s="352"/>
    </row>
    <row r="2225" spans="1:8" ht="12.75">
      <c r="A2225" s="334" t="s">
        <v>1919</v>
      </c>
      <c r="B2225" s="166"/>
      <c r="C2225" s="252"/>
      <c r="D2225" s="166" t="s">
        <v>1920</v>
      </c>
      <c r="E2225" s="244"/>
      <c r="G2225" s="352">
        <f>G46</f>
        <v>2166235975</v>
      </c>
      <c r="H2225" s="352">
        <v>1790007366</v>
      </c>
    </row>
    <row r="2226" spans="2:8" ht="15">
      <c r="B2226" s="166"/>
      <c r="C2226" s="245"/>
      <c r="D2226" s="244" t="s">
        <v>1126</v>
      </c>
      <c r="E2226" s="244"/>
      <c r="G2226" s="350">
        <v>756907149.63</v>
      </c>
      <c r="H2226" s="350">
        <v>667351144</v>
      </c>
    </row>
    <row r="2227" spans="2:8" ht="12.75">
      <c r="B2227" s="166"/>
      <c r="C2227" s="245"/>
      <c r="D2227" s="222" t="s">
        <v>943</v>
      </c>
      <c r="E2227" s="244"/>
      <c r="G2227" s="353">
        <f>SUM(G2225:G2226)</f>
        <v>2923143124.63</v>
      </c>
      <c r="H2227" s="353">
        <f>SUM(H2225:H2226)</f>
        <v>2457358510</v>
      </c>
    </row>
    <row r="2228" spans="2:8" ht="12.75">
      <c r="B2228" s="166"/>
      <c r="C2228" s="245"/>
      <c r="D2228" s="244"/>
      <c r="E2228" s="244"/>
      <c r="G2228" s="352"/>
      <c r="H2228" s="352"/>
    </row>
    <row r="2229" spans="2:8" ht="12.75">
      <c r="B2229" s="166"/>
      <c r="C2229" s="245">
        <v>151600</v>
      </c>
      <c r="D2229" s="222" t="s">
        <v>1127</v>
      </c>
      <c r="E2229" s="244"/>
      <c r="G2229" s="352"/>
      <c r="H2229" s="352"/>
    </row>
    <row r="2230" spans="1:8" ht="12.75">
      <c r="A2230" s="334" t="s">
        <v>1476</v>
      </c>
      <c r="B2230" s="166"/>
      <c r="C2230" s="166"/>
      <c r="D2230" s="166" t="s">
        <v>1477</v>
      </c>
      <c r="E2230" s="222"/>
      <c r="G2230" s="353">
        <f>G81-H81</f>
        <v>-412213299</v>
      </c>
      <c r="H2230" s="353">
        <v>-430434779</v>
      </c>
    </row>
    <row r="2231" spans="2:8" ht="12.75">
      <c r="B2231" s="166"/>
      <c r="C2231" s="245"/>
      <c r="D2231" s="222" t="s">
        <v>943</v>
      </c>
      <c r="E2231" s="244"/>
      <c r="G2231" s="352">
        <f>SUM(G2230)</f>
        <v>-412213299</v>
      </c>
      <c r="H2231" s="352">
        <f>SUM(H2230)</f>
        <v>-430434779</v>
      </c>
    </row>
    <row r="2232" spans="2:8" ht="12.75">
      <c r="B2232" s="166"/>
      <c r="C2232" s="245"/>
      <c r="D2232" s="244"/>
      <c r="E2232" s="244"/>
      <c r="G2232" s="352"/>
      <c r="H2232" s="352"/>
    </row>
    <row r="2233" spans="2:8" ht="15">
      <c r="B2233" s="341"/>
      <c r="C2233" s="221">
        <v>152000</v>
      </c>
      <c r="D2233" s="236" t="s">
        <v>668</v>
      </c>
      <c r="E2233" s="225"/>
      <c r="F2233" s="225"/>
      <c r="G2233" s="351">
        <f>G2227+G2231</f>
        <v>2510929825.63</v>
      </c>
      <c r="H2233" s="351">
        <f>H2227+H2231</f>
        <v>2026923731</v>
      </c>
    </row>
    <row r="2234" spans="5:8" ht="12.75">
      <c r="E2234" s="244"/>
      <c r="G2234" s="352"/>
      <c r="H2234" s="352"/>
    </row>
    <row r="2235" spans="5:8" ht="12.75">
      <c r="E2235" s="244"/>
      <c r="G2235" s="352"/>
      <c r="H2235" s="352"/>
    </row>
    <row r="2236" spans="2:8" ht="12.75">
      <c r="B2236" s="341"/>
      <c r="C2236" s="221">
        <v>153200</v>
      </c>
      <c r="D2236" s="222" t="s">
        <v>669</v>
      </c>
      <c r="E2236" s="244"/>
      <c r="G2236" s="352"/>
      <c r="H2236" s="352"/>
    </row>
    <row r="2237" spans="1:8" ht="12.75">
      <c r="A2237" s="334" t="s">
        <v>1921</v>
      </c>
      <c r="B2237" s="166"/>
      <c r="C2237" s="166"/>
      <c r="D2237" s="166" t="s">
        <v>1923</v>
      </c>
      <c r="E2237" s="244"/>
      <c r="G2237" s="352">
        <f aca="true" t="shared" si="34" ref="G2237:G2251">G48</f>
        <v>55219221.42</v>
      </c>
      <c r="H2237" s="352">
        <v>34527187</v>
      </c>
    </row>
    <row r="2238" spans="1:8" ht="12.75">
      <c r="A2238" s="334" t="s">
        <v>1921</v>
      </c>
      <c r="B2238" s="166"/>
      <c r="C2238" s="166"/>
      <c r="D2238" s="166" t="s">
        <v>1924</v>
      </c>
      <c r="E2238" s="244"/>
      <c r="G2238" s="352">
        <f t="shared" si="34"/>
        <v>0</v>
      </c>
      <c r="H2238" s="352">
        <v>0</v>
      </c>
    </row>
    <row r="2239" spans="1:8" ht="12.75">
      <c r="A2239" s="334" t="s">
        <v>1921</v>
      </c>
      <c r="B2239" s="166"/>
      <c r="C2239" s="166"/>
      <c r="D2239" s="166" t="s">
        <v>1925</v>
      </c>
      <c r="E2239" s="244"/>
      <c r="G2239" s="352">
        <f t="shared" si="34"/>
        <v>3500000</v>
      </c>
      <c r="H2239" s="352">
        <v>3500000</v>
      </c>
    </row>
    <row r="2240" spans="1:8" ht="12.75">
      <c r="A2240" s="334" t="s">
        <v>1921</v>
      </c>
      <c r="B2240" s="166"/>
      <c r="C2240" s="166"/>
      <c r="D2240" s="166" t="s">
        <v>1926</v>
      </c>
      <c r="E2240" s="244"/>
      <c r="G2240" s="352">
        <f t="shared" si="34"/>
        <v>37085052</v>
      </c>
      <c r="H2240" s="352">
        <v>37085052</v>
      </c>
    </row>
    <row r="2241" spans="1:8" ht="12.75">
      <c r="A2241" s="334" t="s">
        <v>1921</v>
      </c>
      <c r="B2241" s="166"/>
      <c r="C2241" s="166"/>
      <c r="D2241" s="166" t="s">
        <v>1927</v>
      </c>
      <c r="E2241" s="244"/>
      <c r="G2241" s="352">
        <f t="shared" si="34"/>
        <v>9515367</v>
      </c>
      <c r="H2241" s="352">
        <v>9515367</v>
      </c>
    </row>
    <row r="2242" spans="1:8" ht="12.75">
      <c r="A2242" s="334" t="s">
        <v>1921</v>
      </c>
      <c r="B2242" s="166"/>
      <c r="C2242" s="166"/>
      <c r="D2242" s="166" t="s">
        <v>191</v>
      </c>
      <c r="E2242" s="244"/>
      <c r="G2242" s="352">
        <f t="shared" si="34"/>
        <v>0</v>
      </c>
      <c r="H2242" s="353"/>
    </row>
    <row r="2243" spans="1:8" ht="12.75">
      <c r="A2243" s="334" t="s">
        <v>1921</v>
      </c>
      <c r="B2243" s="166"/>
      <c r="C2243" s="166"/>
      <c r="D2243" s="166" t="s">
        <v>192</v>
      </c>
      <c r="E2243" s="244"/>
      <c r="G2243" s="352">
        <f t="shared" si="34"/>
        <v>54244285.36</v>
      </c>
      <c r="H2243" s="352">
        <v>20504731</v>
      </c>
    </row>
    <row r="2244" spans="1:8" ht="12.75">
      <c r="A2244" s="334" t="s">
        <v>1921</v>
      </c>
      <c r="B2244" s="166"/>
      <c r="C2244" s="166"/>
      <c r="D2244" s="166" t="s">
        <v>193</v>
      </c>
      <c r="E2244" s="244"/>
      <c r="G2244" s="352">
        <f t="shared" si="34"/>
        <v>0</v>
      </c>
      <c r="H2244" s="352">
        <v>0</v>
      </c>
    </row>
    <row r="2245" spans="1:8" ht="12.75">
      <c r="A2245" s="334" t="s">
        <v>1921</v>
      </c>
      <c r="B2245" s="166"/>
      <c r="C2245" s="166"/>
      <c r="D2245" s="166" t="s">
        <v>194</v>
      </c>
      <c r="E2245" s="244"/>
      <c r="G2245" s="352">
        <f t="shared" si="34"/>
        <v>0</v>
      </c>
      <c r="H2245" s="352">
        <v>0</v>
      </c>
    </row>
    <row r="2246" spans="1:8" ht="12.75">
      <c r="A2246" s="334" t="s">
        <v>1921</v>
      </c>
      <c r="B2246" s="166"/>
      <c r="C2246" s="166"/>
      <c r="D2246" s="166" t="s">
        <v>192</v>
      </c>
      <c r="E2246" s="244"/>
      <c r="G2246" s="352">
        <f t="shared" si="34"/>
        <v>0</v>
      </c>
      <c r="H2246" s="352">
        <v>0</v>
      </c>
    </row>
    <row r="2247" spans="1:8" ht="12.75">
      <c r="A2247" s="334" t="s">
        <v>1921</v>
      </c>
      <c r="B2247" s="166"/>
      <c r="C2247" s="166"/>
      <c r="D2247" s="166" t="s">
        <v>195</v>
      </c>
      <c r="E2247" s="244"/>
      <c r="G2247" s="352">
        <f t="shared" si="34"/>
        <v>0</v>
      </c>
      <c r="H2247" s="352">
        <v>0</v>
      </c>
    </row>
    <row r="2248" spans="1:8" ht="12.75">
      <c r="A2248" s="334" t="s">
        <v>1921</v>
      </c>
      <c r="B2248" s="166"/>
      <c r="C2248" s="166"/>
      <c r="D2248" s="166" t="s">
        <v>196</v>
      </c>
      <c r="E2248" s="244"/>
      <c r="G2248" s="352">
        <f t="shared" si="34"/>
        <v>0</v>
      </c>
      <c r="H2248" s="352">
        <v>0</v>
      </c>
    </row>
    <row r="2249" spans="1:8" ht="12.75">
      <c r="A2249" s="334" t="s">
        <v>1921</v>
      </c>
      <c r="B2249" s="166"/>
      <c r="C2249" s="166"/>
      <c r="D2249" s="166" t="s">
        <v>192</v>
      </c>
      <c r="E2249" s="244"/>
      <c r="G2249" s="352">
        <f t="shared" si="34"/>
        <v>0</v>
      </c>
      <c r="H2249" s="352">
        <v>0</v>
      </c>
    </row>
    <row r="2250" spans="1:8" ht="12.75">
      <c r="A2250" s="334" t="s">
        <v>1921</v>
      </c>
      <c r="B2250" s="166"/>
      <c r="C2250" s="166"/>
      <c r="D2250" s="166" t="s">
        <v>1445</v>
      </c>
      <c r="E2250" s="244"/>
      <c r="G2250" s="352">
        <f t="shared" si="34"/>
        <v>13047070</v>
      </c>
      <c r="H2250" s="352">
        <v>13047070</v>
      </c>
    </row>
    <row r="2251" spans="1:8" ht="12.75">
      <c r="A2251" s="334" t="s">
        <v>1921</v>
      </c>
      <c r="B2251" s="166"/>
      <c r="C2251" s="166"/>
      <c r="D2251" s="166" t="s">
        <v>1926</v>
      </c>
      <c r="E2251" s="244"/>
      <c r="G2251" s="352">
        <f t="shared" si="34"/>
        <v>0</v>
      </c>
      <c r="H2251" s="353">
        <v>0</v>
      </c>
    </row>
    <row r="2252" spans="1:8" ht="12.75">
      <c r="A2252" s="334" t="s">
        <v>1921</v>
      </c>
      <c r="B2252" s="166"/>
      <c r="C2252" s="166"/>
      <c r="D2252" s="166" t="s">
        <v>1446</v>
      </c>
      <c r="E2252" s="244"/>
      <c r="G2252" s="352">
        <f>G63-H63</f>
        <v>-52734.08</v>
      </c>
      <c r="H2252" s="353">
        <v>0</v>
      </c>
    </row>
    <row r="2253" spans="1:8" ht="12.75">
      <c r="A2253" s="334" t="s">
        <v>1921</v>
      </c>
      <c r="B2253" s="166"/>
      <c r="C2253" s="166"/>
      <c r="D2253" s="166" t="s">
        <v>1447</v>
      </c>
      <c r="E2253" s="244"/>
      <c r="G2253" s="352">
        <f>G64-H64</f>
        <v>-100369.5</v>
      </c>
      <c r="H2253" s="353">
        <v>0</v>
      </c>
    </row>
    <row r="2254" spans="1:8" ht="12.75">
      <c r="A2254" s="334" t="s">
        <v>1921</v>
      </c>
      <c r="B2254" s="166"/>
      <c r="C2254" s="166"/>
      <c r="D2254" s="166" t="s">
        <v>1448</v>
      </c>
      <c r="E2254" s="244"/>
      <c r="G2254" s="352">
        <f>G65-H65</f>
        <v>0</v>
      </c>
      <c r="H2254" s="353">
        <v>0</v>
      </c>
    </row>
    <row r="2255" spans="1:8" ht="12.75">
      <c r="A2255" s="334" t="s">
        <v>1921</v>
      </c>
      <c r="B2255" s="166"/>
      <c r="C2255" s="166"/>
      <c r="D2255" s="166" t="s">
        <v>1449</v>
      </c>
      <c r="E2255" s="244"/>
      <c r="G2255" s="352">
        <f>G66</f>
        <v>0</v>
      </c>
      <c r="H2255" s="352">
        <v>305417</v>
      </c>
    </row>
    <row r="2256" spans="1:8" ht="12.75">
      <c r="A2256" s="334" t="s">
        <v>1450</v>
      </c>
      <c r="B2256" s="166"/>
      <c r="C2256" s="166"/>
      <c r="D2256" s="166" t="s">
        <v>1451</v>
      </c>
      <c r="E2256" s="166"/>
      <c r="G2256" s="352">
        <f aca="true" t="shared" si="35" ref="G2256:G2264">G68-H68</f>
        <v>109583334</v>
      </c>
      <c r="H2256" s="352">
        <v>96483344</v>
      </c>
    </row>
    <row r="2257" spans="1:8" ht="12.75">
      <c r="A2257" s="334" t="s">
        <v>1452</v>
      </c>
      <c r="B2257" s="166"/>
      <c r="C2257" s="166"/>
      <c r="D2257" s="166" t="s">
        <v>1453</v>
      </c>
      <c r="E2257" s="166"/>
      <c r="G2257" s="352">
        <f t="shared" si="35"/>
        <v>13682120416</v>
      </c>
      <c r="H2257" s="352">
        <v>400818780</v>
      </c>
    </row>
    <row r="2258" spans="1:8" ht="12.75">
      <c r="A2258" s="334" t="s">
        <v>1454</v>
      </c>
      <c r="B2258" s="166"/>
      <c r="C2258" s="252"/>
      <c r="D2258" s="166" t="s">
        <v>1455</v>
      </c>
      <c r="E2258" s="166"/>
      <c r="G2258" s="352">
        <f t="shared" si="35"/>
        <v>0</v>
      </c>
      <c r="H2258" s="352">
        <v>0</v>
      </c>
    </row>
    <row r="2259" spans="1:8" ht="12.75">
      <c r="A2259" s="334" t="s">
        <v>1456</v>
      </c>
      <c r="B2259" s="166"/>
      <c r="C2259" s="166"/>
      <c r="D2259" s="166" t="s">
        <v>1457</v>
      </c>
      <c r="E2259" s="166"/>
      <c r="G2259" s="352">
        <f t="shared" si="35"/>
        <v>734222</v>
      </c>
      <c r="H2259" s="352">
        <v>27367118</v>
      </c>
    </row>
    <row r="2260" spans="1:8" ht="12.75">
      <c r="A2260" s="334" t="s">
        <v>1458</v>
      </c>
      <c r="B2260" s="166"/>
      <c r="C2260" s="252"/>
      <c r="D2260" s="166" t="s">
        <v>1459</v>
      </c>
      <c r="E2260" s="166"/>
      <c r="G2260" s="352">
        <f t="shared" si="35"/>
        <v>31036656</v>
      </c>
      <c r="H2260" s="349">
        <v>66785198</v>
      </c>
    </row>
    <row r="2261" spans="1:8" ht="12.75">
      <c r="A2261" s="334" t="s">
        <v>1460</v>
      </c>
      <c r="B2261" s="166"/>
      <c r="C2261" s="166"/>
      <c r="D2261" s="166" t="s">
        <v>1461</v>
      </c>
      <c r="E2261" s="166"/>
      <c r="G2261" s="352">
        <f t="shared" si="35"/>
        <v>7905204</v>
      </c>
      <c r="H2261" s="352">
        <v>4377548</v>
      </c>
    </row>
    <row r="2262" spans="1:8" ht="12.75">
      <c r="A2262" s="334" t="s">
        <v>1462</v>
      </c>
      <c r="B2262" s="166"/>
      <c r="C2262" s="166"/>
      <c r="D2262" s="166" t="s">
        <v>1463</v>
      </c>
      <c r="E2262" s="166"/>
      <c r="G2262" s="352">
        <f t="shared" si="35"/>
        <v>200000</v>
      </c>
      <c r="H2262" s="352">
        <v>200000</v>
      </c>
    </row>
    <row r="2263" spans="1:8" ht="12.75">
      <c r="A2263" s="334" t="s">
        <v>1464</v>
      </c>
      <c r="B2263" s="166"/>
      <c r="C2263" s="252"/>
      <c r="D2263" s="253" t="s">
        <v>1465</v>
      </c>
      <c r="E2263" s="166"/>
      <c r="G2263" s="352">
        <f t="shared" si="35"/>
        <v>0</v>
      </c>
      <c r="H2263" s="352">
        <v>0</v>
      </c>
    </row>
    <row r="2264" spans="1:8" ht="12.75">
      <c r="A2264" s="334" t="s">
        <v>1466</v>
      </c>
      <c r="B2264" s="166"/>
      <c r="C2264" s="252"/>
      <c r="D2264" s="253" t="s">
        <v>1467</v>
      </c>
      <c r="E2264" s="166"/>
      <c r="G2264" s="352">
        <f t="shared" si="35"/>
        <v>0</v>
      </c>
      <c r="H2264" s="352">
        <v>3690258</v>
      </c>
    </row>
    <row r="2265" spans="1:8" ht="12.75">
      <c r="A2265" s="334" t="s">
        <v>1468</v>
      </c>
      <c r="B2265" s="166"/>
      <c r="C2265" s="166"/>
      <c r="D2265" s="166" t="s">
        <v>1469</v>
      </c>
      <c r="E2265" s="244"/>
      <c r="G2265" s="352">
        <f>G77-1799112917</f>
        <v>0</v>
      </c>
      <c r="H2265" s="352">
        <v>0</v>
      </c>
    </row>
    <row r="2266" spans="1:8" ht="12.75">
      <c r="A2266" s="334" t="s">
        <v>1470</v>
      </c>
      <c r="B2266" s="166"/>
      <c r="C2266" s="166"/>
      <c r="D2266" s="166" t="s">
        <v>1471</v>
      </c>
      <c r="E2266" s="244"/>
      <c r="G2266" s="352">
        <f>G78-H78</f>
        <v>0</v>
      </c>
      <c r="H2266" s="352">
        <v>0</v>
      </c>
    </row>
    <row r="2267" spans="1:8" ht="12.75">
      <c r="A2267" s="334" t="s">
        <v>1472</v>
      </c>
      <c r="B2267" s="166"/>
      <c r="C2267" s="166"/>
      <c r="D2267" s="166" t="s">
        <v>1473</v>
      </c>
      <c r="E2267" s="244"/>
      <c r="G2267" s="352">
        <f>G79-H79</f>
        <v>0</v>
      </c>
      <c r="H2267" s="352">
        <v>0</v>
      </c>
    </row>
    <row r="2268" spans="1:8" ht="12.75">
      <c r="A2268" s="334" t="s">
        <v>1474</v>
      </c>
      <c r="B2268" s="166"/>
      <c r="C2268" s="166"/>
      <c r="D2268" s="166" t="s">
        <v>1475</v>
      </c>
      <c r="E2268" s="244"/>
      <c r="G2268" s="352">
        <f>G80-H80</f>
        <v>0</v>
      </c>
      <c r="H2268" s="352">
        <v>0</v>
      </c>
    </row>
    <row r="2269" spans="1:8" ht="12.75">
      <c r="A2269" s="334" t="s">
        <v>1494</v>
      </c>
      <c r="B2269" s="166"/>
      <c r="C2269" s="166"/>
      <c r="D2269" s="166" t="s">
        <v>1495</v>
      </c>
      <c r="E2269" s="244"/>
      <c r="F2269" s="366"/>
      <c r="G2269" s="352">
        <f>G126</f>
        <v>19152684</v>
      </c>
      <c r="H2269" s="352">
        <v>20791162</v>
      </c>
    </row>
    <row r="2270" spans="2:8" ht="12.75">
      <c r="B2270" s="166"/>
      <c r="C2270" s="245"/>
      <c r="D2270" s="244" t="s">
        <v>1221</v>
      </c>
      <c r="E2270" s="244"/>
      <c r="G2270" s="352">
        <f>G2343</f>
        <v>828938662.28</v>
      </c>
      <c r="H2270" s="352">
        <v>978120459</v>
      </c>
    </row>
    <row r="2271" spans="1:8" ht="12.75">
      <c r="A2271" s="334" t="s">
        <v>1959</v>
      </c>
      <c r="B2271" s="334" t="s">
        <v>1161</v>
      </c>
      <c r="C2271" s="252"/>
      <c r="D2271" s="166" t="s">
        <v>1697</v>
      </c>
      <c r="E2271" s="244"/>
      <c r="G2271" s="352">
        <f>G635-H635</f>
        <v>0</v>
      </c>
      <c r="H2271" s="352"/>
    </row>
    <row r="2272" spans="1:8" ht="12.75">
      <c r="A2272" s="334" t="s">
        <v>1478</v>
      </c>
      <c r="B2272" s="166"/>
      <c r="C2272" s="252"/>
      <c r="D2272" s="166" t="s">
        <v>1479</v>
      </c>
      <c r="E2272" s="244"/>
      <c r="G2272" s="367">
        <f>G82-H82</f>
        <v>-11666865</v>
      </c>
      <c r="H2272" s="352">
        <v>-21471518</v>
      </c>
    </row>
    <row r="2273" spans="1:8" ht="15">
      <c r="A2273" s="334" t="s">
        <v>1480</v>
      </c>
      <c r="B2273" s="166"/>
      <c r="C2273" s="252"/>
      <c r="D2273" s="166" t="s">
        <v>1481</v>
      </c>
      <c r="E2273" s="244"/>
      <c r="G2273" s="368">
        <f>G83-H83</f>
        <v>-209490329</v>
      </c>
      <c r="H2273" s="350">
        <v>-59576845</v>
      </c>
    </row>
    <row r="2274" spans="2:8" ht="12.75">
      <c r="B2274" s="166"/>
      <c r="C2274" s="245"/>
      <c r="D2274" s="244"/>
      <c r="E2274" s="244"/>
      <c r="G2274" s="367"/>
      <c r="H2274" s="353"/>
    </row>
    <row r="2275" spans="2:8" ht="15">
      <c r="B2275" s="166"/>
      <c r="C2275" s="221">
        <v>154000</v>
      </c>
      <c r="D2275" s="236" t="s">
        <v>719</v>
      </c>
      <c r="E2275" s="225"/>
      <c r="F2275" s="225"/>
      <c r="G2275" s="369">
        <f>SUM(G2237:G2274)</f>
        <v>14630971876.480001</v>
      </c>
      <c r="H2275" s="369">
        <f>SUM(H2237:H2274)</f>
        <v>1636070328</v>
      </c>
    </row>
    <row r="2276" spans="2:8" ht="12.75">
      <c r="B2276" s="166"/>
      <c r="C2276" s="245"/>
      <c r="D2276" s="244"/>
      <c r="E2276" s="244"/>
      <c r="G2276" s="367"/>
      <c r="H2276" s="352"/>
    </row>
    <row r="2277" spans="2:8" ht="12.75">
      <c r="B2277" s="166"/>
      <c r="C2277" s="245"/>
      <c r="D2277" s="244"/>
      <c r="E2277" s="244"/>
      <c r="G2277" s="367"/>
      <c r="H2277" s="352"/>
    </row>
    <row r="2278" spans="2:8" ht="12.75">
      <c r="B2278" s="341"/>
      <c r="C2278" s="221">
        <v>174000</v>
      </c>
      <c r="D2278" s="222" t="s">
        <v>1801</v>
      </c>
      <c r="E2278" s="244"/>
      <c r="G2278" s="367"/>
      <c r="H2278" s="353"/>
    </row>
    <row r="2279" spans="1:8" ht="12.75">
      <c r="A2279" s="334" t="s">
        <v>1482</v>
      </c>
      <c r="B2279" s="166"/>
      <c r="C2279" s="252"/>
      <c r="D2279" s="166" t="s">
        <v>1483</v>
      </c>
      <c r="F2279" s="366"/>
      <c r="G2279" s="367">
        <f aca="true" t="shared" si="36" ref="G2279:G2291">G84-H84</f>
        <v>472518593</v>
      </c>
      <c r="H2279" s="352">
        <v>125258122</v>
      </c>
    </row>
    <row r="2280" spans="1:8" ht="12.75">
      <c r="A2280" s="334" t="s">
        <v>1482</v>
      </c>
      <c r="B2280" s="166"/>
      <c r="C2280" s="252"/>
      <c r="D2280" s="166" t="s">
        <v>1484</v>
      </c>
      <c r="F2280" s="366"/>
      <c r="G2280" s="367">
        <f t="shared" si="36"/>
        <v>486769503</v>
      </c>
      <c r="H2280" s="352">
        <v>1457601678</v>
      </c>
    </row>
    <row r="2281" spans="1:8" ht="12.75">
      <c r="A2281" s="334" t="s">
        <v>1485</v>
      </c>
      <c r="B2281" s="166"/>
      <c r="C2281" s="252"/>
      <c r="D2281" s="166" t="s">
        <v>1486</v>
      </c>
      <c r="F2281" s="366"/>
      <c r="G2281" s="367">
        <f t="shared" si="36"/>
        <v>1368708075</v>
      </c>
      <c r="H2281" s="352">
        <v>460953196</v>
      </c>
    </row>
    <row r="2282" spans="1:8" ht="12.75">
      <c r="A2282" s="334" t="s">
        <v>1487</v>
      </c>
      <c r="B2282" s="166"/>
      <c r="C2282" s="252"/>
      <c r="D2282" s="253" t="s">
        <v>1488</v>
      </c>
      <c r="F2282" s="366"/>
      <c r="G2282" s="367">
        <f t="shared" si="36"/>
        <v>224714400</v>
      </c>
      <c r="H2282" s="352">
        <v>-22880</v>
      </c>
    </row>
    <row r="2283" spans="1:8" ht="12.75">
      <c r="A2283" s="334" t="s">
        <v>1710</v>
      </c>
      <c r="B2283" s="166"/>
      <c r="C2283" s="252"/>
      <c r="D2283" s="253" t="s">
        <v>1711</v>
      </c>
      <c r="F2283" s="366"/>
      <c r="G2283" s="367">
        <f t="shared" si="36"/>
        <v>431721453</v>
      </c>
      <c r="H2283" s="352">
        <v>838747922</v>
      </c>
    </row>
    <row r="2284" spans="1:8" ht="12.75">
      <c r="A2284" s="334" t="s">
        <v>1712</v>
      </c>
      <c r="B2284" s="166"/>
      <c r="C2284" s="252"/>
      <c r="D2284" s="253" t="s">
        <v>1713</v>
      </c>
      <c r="F2284" s="366"/>
      <c r="G2284" s="367">
        <f t="shared" si="36"/>
        <v>2413768398</v>
      </c>
      <c r="H2284" s="352">
        <v>3216842560</v>
      </c>
    </row>
    <row r="2285" spans="1:8" ht="12.75">
      <c r="A2285" s="334" t="s">
        <v>1002</v>
      </c>
      <c r="B2285" s="166"/>
      <c r="C2285" s="252"/>
      <c r="D2285" s="166" t="s">
        <v>1003</v>
      </c>
      <c r="F2285" s="366"/>
      <c r="G2285" s="367">
        <f t="shared" si="36"/>
        <v>166483453</v>
      </c>
      <c r="H2285" s="352">
        <v>2745587352</v>
      </c>
    </row>
    <row r="2286" spans="1:8" ht="12.75">
      <c r="A2286" s="334" t="s">
        <v>1004</v>
      </c>
      <c r="B2286" s="166"/>
      <c r="C2286" s="252"/>
      <c r="D2286" s="166" t="s">
        <v>1005</v>
      </c>
      <c r="F2286" s="366"/>
      <c r="G2286" s="367">
        <f t="shared" si="36"/>
        <v>2231563060</v>
      </c>
      <c r="H2286" s="352">
        <v>1176434346</v>
      </c>
    </row>
    <row r="2287" spans="1:8" ht="12.75">
      <c r="A2287" s="334" t="s">
        <v>1006</v>
      </c>
      <c r="B2287" s="166"/>
      <c r="C2287" s="166"/>
      <c r="D2287" s="166" t="s">
        <v>1007</v>
      </c>
      <c r="F2287" s="366"/>
      <c r="G2287" s="367">
        <f t="shared" si="36"/>
        <v>346852810</v>
      </c>
      <c r="H2287" s="352">
        <v>211898159</v>
      </c>
    </row>
    <row r="2288" spans="1:8" ht="12.75">
      <c r="A2288" s="334" t="s">
        <v>1008</v>
      </c>
      <c r="B2288" s="166"/>
      <c r="C2288" s="166"/>
      <c r="D2288" s="166" t="s">
        <v>1009</v>
      </c>
      <c r="F2288" s="366"/>
      <c r="G2288" s="367">
        <f t="shared" si="36"/>
        <v>6752537</v>
      </c>
      <c r="H2288" s="352">
        <v>5590335</v>
      </c>
    </row>
    <row r="2289" spans="1:8" ht="12.75">
      <c r="A2289" s="334" t="s">
        <v>653</v>
      </c>
      <c r="B2289" s="166"/>
      <c r="C2289" s="166"/>
      <c r="D2289" s="348" t="s">
        <v>1828</v>
      </c>
      <c r="F2289" s="366"/>
      <c r="G2289" s="367">
        <f t="shared" si="36"/>
        <v>0</v>
      </c>
      <c r="H2289" s="352">
        <v>0</v>
      </c>
    </row>
    <row r="2290" spans="1:8" ht="12.75">
      <c r="A2290" s="334" t="s">
        <v>1010</v>
      </c>
      <c r="B2290" s="166"/>
      <c r="C2290" s="252"/>
      <c r="D2290" s="166" t="s">
        <v>1699</v>
      </c>
      <c r="F2290" s="366"/>
      <c r="G2290" s="367">
        <f t="shared" si="36"/>
        <v>0</v>
      </c>
      <c r="H2290" s="352">
        <v>0</v>
      </c>
    </row>
    <row r="2291" spans="1:8" ht="15">
      <c r="A2291" s="334" t="s">
        <v>1700</v>
      </c>
      <c r="B2291" s="166"/>
      <c r="C2291" s="252"/>
      <c r="D2291" s="166" t="s">
        <v>1701</v>
      </c>
      <c r="F2291" s="366"/>
      <c r="G2291" s="368">
        <f t="shared" si="36"/>
        <v>0</v>
      </c>
      <c r="H2291" s="350">
        <v>330920</v>
      </c>
    </row>
    <row r="2292" spans="7:8" ht="12.75">
      <c r="G2292" s="352"/>
      <c r="H2292" s="352"/>
    </row>
    <row r="2293" spans="2:8" ht="15">
      <c r="B2293" s="341"/>
      <c r="C2293" s="221">
        <v>179900</v>
      </c>
      <c r="D2293" s="236" t="s">
        <v>1802</v>
      </c>
      <c r="E2293" s="225"/>
      <c r="F2293" s="225"/>
      <c r="G2293" s="351">
        <f>SUM(G2279:G2292)</f>
        <v>8149852282</v>
      </c>
      <c r="H2293" s="351">
        <f>SUM(H2279:H2292)</f>
        <v>10239221710</v>
      </c>
    </row>
    <row r="2294" spans="7:8" ht="12.75">
      <c r="G2294" s="352"/>
      <c r="H2294" s="352"/>
    </row>
    <row r="2295" spans="2:8" ht="12.75">
      <c r="B2295" s="166"/>
      <c r="C2295" s="245"/>
      <c r="D2295" s="244"/>
      <c r="E2295" s="244"/>
      <c r="G2295" s="352"/>
      <c r="H2295" s="352"/>
    </row>
    <row r="2296" spans="2:8" ht="12.75">
      <c r="B2296" s="341"/>
      <c r="C2296" s="221">
        <v>201000</v>
      </c>
      <c r="D2296" s="222" t="s">
        <v>1803</v>
      </c>
      <c r="E2296" s="244"/>
      <c r="G2296" s="352"/>
      <c r="H2296" s="352"/>
    </row>
    <row r="2297" spans="1:8" ht="15">
      <c r="A2297" s="334" t="s">
        <v>1702</v>
      </c>
      <c r="B2297" s="166"/>
      <c r="C2297" s="252"/>
      <c r="D2297" s="166" t="s">
        <v>1703</v>
      </c>
      <c r="E2297" s="244"/>
      <c r="G2297" s="350">
        <f>H98</f>
        <v>3598462000</v>
      </c>
      <c r="H2297" s="350">
        <v>3598462000</v>
      </c>
    </row>
    <row r="2298" spans="2:8" ht="15">
      <c r="B2298" s="166"/>
      <c r="C2298" s="245"/>
      <c r="D2298" s="222" t="s">
        <v>943</v>
      </c>
      <c r="E2298" s="222"/>
      <c r="G2298" s="365">
        <f>SUM(G2297)</f>
        <v>3598462000</v>
      </c>
      <c r="H2298" s="365">
        <f>SUM(H2297)</f>
        <v>3598462000</v>
      </c>
    </row>
    <row r="2299" spans="2:8" ht="12.75">
      <c r="B2299" s="166"/>
      <c r="C2299" s="245"/>
      <c r="D2299" s="244"/>
      <c r="E2299" s="244"/>
      <c r="G2299" s="352"/>
      <c r="H2299" s="352"/>
    </row>
    <row r="2300" spans="2:8" ht="12.75">
      <c r="B2300" s="341"/>
      <c r="C2300" s="221">
        <v>202200</v>
      </c>
      <c r="D2300" s="222" t="s">
        <v>186</v>
      </c>
      <c r="E2300" s="244"/>
      <c r="G2300" s="352"/>
      <c r="H2300" s="352"/>
    </row>
    <row r="2301" spans="1:8" ht="12.75">
      <c r="A2301" s="334" t="s">
        <v>1704</v>
      </c>
      <c r="B2301" s="166"/>
      <c r="C2301" s="252"/>
      <c r="D2301" s="253" t="s">
        <v>1705</v>
      </c>
      <c r="E2301" s="244"/>
      <c r="G2301" s="352">
        <f>H99</f>
        <v>482993875</v>
      </c>
      <c r="H2301" s="352">
        <v>482993875</v>
      </c>
    </row>
    <row r="2302" spans="1:8" ht="12.75">
      <c r="A2302" s="334"/>
      <c r="B2302" s="166"/>
      <c r="C2302" s="252"/>
      <c r="D2302" s="253" t="s">
        <v>249</v>
      </c>
      <c r="E2302" s="244"/>
      <c r="G2302" s="352">
        <f>H100</f>
        <v>0</v>
      </c>
      <c r="H2302" s="352">
        <v>0</v>
      </c>
    </row>
    <row r="2303" spans="1:8" ht="15">
      <c r="A2303" s="334" t="s">
        <v>250</v>
      </c>
      <c r="B2303" s="166"/>
      <c r="C2303" s="252"/>
      <c r="D2303" s="253" t="s">
        <v>251</v>
      </c>
      <c r="E2303" s="244"/>
      <c r="G2303" s="354">
        <f>H101</f>
        <v>30235000891</v>
      </c>
      <c r="H2303" s="350">
        <v>17731300835</v>
      </c>
    </row>
    <row r="2304" spans="2:8" ht="12.75">
      <c r="B2304" s="166"/>
      <c r="C2304" s="245"/>
      <c r="D2304" s="244"/>
      <c r="E2304" s="244"/>
      <c r="G2304" s="352"/>
      <c r="H2304" s="352"/>
    </row>
    <row r="2305" spans="2:8" ht="15">
      <c r="B2305" s="166"/>
      <c r="C2305" s="245"/>
      <c r="D2305" s="222" t="s">
        <v>943</v>
      </c>
      <c r="E2305" s="222"/>
      <c r="G2305" s="365">
        <f>SUM(G2301:G2304)</f>
        <v>30717994766</v>
      </c>
      <c r="H2305" s="365">
        <f>SUM(H2301:H2304)</f>
        <v>18214294710</v>
      </c>
    </row>
    <row r="2306" spans="2:8" ht="15">
      <c r="B2306" s="166"/>
      <c r="C2306" s="245"/>
      <c r="D2306" s="222"/>
      <c r="E2306" s="222"/>
      <c r="G2306" s="365"/>
      <c r="H2306" s="365"/>
    </row>
    <row r="2307" spans="2:8" ht="15">
      <c r="B2307" s="166"/>
      <c r="C2307" s="245"/>
      <c r="D2307" s="222" t="s">
        <v>1804</v>
      </c>
      <c r="E2307" s="222"/>
      <c r="G2307" s="365"/>
      <c r="H2307" s="365"/>
    </row>
    <row r="2308" spans="2:8" ht="15">
      <c r="B2308" s="166"/>
      <c r="C2308" s="245"/>
      <c r="D2308" s="228" t="s">
        <v>1805</v>
      </c>
      <c r="E2308" s="222"/>
      <c r="G2308" s="365"/>
      <c r="H2308" s="365"/>
    </row>
    <row r="2309" spans="2:8" ht="15">
      <c r="B2309" s="166"/>
      <c r="C2309" s="245"/>
      <c r="D2309" s="222"/>
      <c r="E2309" s="222"/>
      <c r="G2309" s="365"/>
      <c r="H2309" s="365"/>
    </row>
    <row r="2310" spans="2:8" ht="15">
      <c r="B2310" s="166"/>
      <c r="C2310" s="245"/>
      <c r="D2310" s="222"/>
      <c r="E2310" s="222"/>
      <c r="G2310" s="365"/>
      <c r="H2310" s="365"/>
    </row>
    <row r="2311" spans="2:8" ht="12.75">
      <c r="B2311" s="166"/>
      <c r="C2311" s="245"/>
      <c r="D2311" s="244"/>
      <c r="E2311" s="244"/>
      <c r="G2311" s="352"/>
      <c r="H2311" s="352"/>
    </row>
    <row r="2312" spans="2:8" ht="12.75">
      <c r="B2312" s="341"/>
      <c r="C2312" s="221">
        <v>221400</v>
      </c>
      <c r="D2312" s="222" t="s">
        <v>1806</v>
      </c>
      <c r="E2312" s="244"/>
      <c r="G2312" s="352"/>
      <c r="H2312" s="352"/>
    </row>
    <row r="2313" spans="1:8" ht="12.75">
      <c r="A2313" s="334" t="s">
        <v>1807</v>
      </c>
      <c r="B2313" s="166"/>
      <c r="C2313" s="166"/>
      <c r="D2313" s="166" t="s">
        <v>1808</v>
      </c>
      <c r="E2313" s="244"/>
      <c r="G2313" s="352">
        <v>0</v>
      </c>
      <c r="H2313" s="352">
        <v>0</v>
      </c>
    </row>
    <row r="2314" spans="2:8" ht="12.75">
      <c r="B2314" s="166"/>
      <c r="C2314" s="245"/>
      <c r="D2314" s="244"/>
      <c r="E2314" s="244"/>
      <c r="G2314" s="352"/>
      <c r="H2314" s="352"/>
    </row>
    <row r="2315" spans="2:8" ht="12.75">
      <c r="B2315" s="166"/>
      <c r="C2315" s="245"/>
      <c r="D2315" s="222" t="s">
        <v>943</v>
      </c>
      <c r="E2315" s="222"/>
      <c r="G2315" s="352">
        <f>SUM(G2313:G2314)</f>
        <v>0</v>
      </c>
      <c r="H2315" s="352"/>
    </row>
    <row r="2316" spans="2:8" ht="12.75">
      <c r="B2316" s="166"/>
      <c r="C2316" s="245"/>
      <c r="D2316" s="244"/>
      <c r="E2316" s="244"/>
      <c r="G2316" s="352"/>
      <c r="H2316" s="352"/>
    </row>
    <row r="2317" spans="2:8" ht="12.75">
      <c r="B2317" s="341"/>
      <c r="C2317" s="221">
        <v>223200</v>
      </c>
      <c r="D2317" s="222" t="s">
        <v>1809</v>
      </c>
      <c r="E2317" s="244"/>
      <c r="G2317" s="352"/>
      <c r="H2317" s="352"/>
    </row>
    <row r="2318" spans="1:8" ht="15">
      <c r="A2318" s="334" t="s">
        <v>254</v>
      </c>
      <c r="B2318" s="166"/>
      <c r="C2318" s="252"/>
      <c r="D2318" s="166" t="s">
        <v>1969</v>
      </c>
      <c r="E2318" s="244"/>
      <c r="G2318" s="350">
        <f>H104</f>
        <v>629548022</v>
      </c>
      <c r="H2318" s="350">
        <v>679911864</v>
      </c>
    </row>
    <row r="2319" spans="2:8" ht="15">
      <c r="B2319" s="166"/>
      <c r="C2319" s="245"/>
      <c r="D2319" s="222" t="s">
        <v>943</v>
      </c>
      <c r="E2319" s="222"/>
      <c r="G2319" s="365">
        <f>SUM(G2318)</f>
        <v>629548022</v>
      </c>
      <c r="H2319" s="365">
        <f>SUM(H2318)</f>
        <v>679911864</v>
      </c>
    </row>
    <row r="2320" spans="2:8" ht="12.75">
      <c r="B2320" s="166"/>
      <c r="C2320" s="245"/>
      <c r="D2320" s="244"/>
      <c r="E2320" s="244"/>
      <c r="G2320" s="352"/>
      <c r="H2320" s="352"/>
    </row>
    <row r="2321" spans="2:8" ht="12.75">
      <c r="B2321" s="341"/>
      <c r="C2321" s="221">
        <v>251400</v>
      </c>
      <c r="D2321" s="222" t="s">
        <v>1015</v>
      </c>
      <c r="E2321" s="244"/>
      <c r="G2321" s="352"/>
      <c r="H2321" s="352"/>
    </row>
    <row r="2322" spans="2:8" ht="12.75">
      <c r="B2322" s="166"/>
      <c r="C2322" s="245"/>
      <c r="D2322" s="244" t="s">
        <v>1810</v>
      </c>
      <c r="E2322" s="244"/>
      <c r="G2322" s="352">
        <v>0</v>
      </c>
      <c r="H2322" s="352"/>
    </row>
    <row r="2323" spans="2:8" ht="12.75">
      <c r="B2323" s="166"/>
      <c r="C2323" s="245"/>
      <c r="D2323" s="222" t="s">
        <v>943</v>
      </c>
      <c r="E2323" s="222"/>
      <c r="G2323" s="353">
        <f>SUM(G2322)</f>
        <v>0</v>
      </c>
      <c r="H2323" s="353"/>
    </row>
    <row r="2324" spans="2:8" ht="12.75">
      <c r="B2324" s="166"/>
      <c r="C2324" s="245"/>
      <c r="D2324" s="244"/>
      <c r="E2324" s="244"/>
      <c r="G2324" s="352"/>
      <c r="H2324" s="352"/>
    </row>
    <row r="2325" spans="2:8" ht="12.75">
      <c r="B2325" s="341"/>
      <c r="C2325" s="221">
        <v>253200</v>
      </c>
      <c r="D2325" s="222" t="s">
        <v>1017</v>
      </c>
      <c r="E2325" s="244"/>
      <c r="G2325" s="352"/>
      <c r="H2325" s="352"/>
    </row>
    <row r="2326" spans="1:8" ht="12.75">
      <c r="A2326" s="334" t="s">
        <v>580</v>
      </c>
      <c r="B2326" s="166"/>
      <c r="C2326" s="252"/>
      <c r="D2326" s="166" t="s">
        <v>581</v>
      </c>
      <c r="E2326" s="244"/>
      <c r="G2326" s="352">
        <f>H108</f>
        <v>50363841</v>
      </c>
      <c r="H2326" s="352">
        <v>50363841</v>
      </c>
    </row>
    <row r="2327" spans="2:8" ht="12.75">
      <c r="B2327" s="166"/>
      <c r="C2327" s="245"/>
      <c r="D2327" s="244"/>
      <c r="E2327" s="244"/>
      <c r="G2327" s="352"/>
      <c r="H2327" s="352"/>
    </row>
    <row r="2328" spans="2:8" ht="12.75">
      <c r="B2328" s="166"/>
      <c r="C2328" s="245"/>
      <c r="D2328" s="222" t="s">
        <v>943</v>
      </c>
      <c r="E2328" s="222"/>
      <c r="G2328" s="353">
        <f>SUM(G2326:G2327)</f>
        <v>50363841</v>
      </c>
      <c r="H2328" s="353">
        <f>SUM(H2326:H2327)</f>
        <v>50363841</v>
      </c>
    </row>
    <row r="2329" spans="2:8" ht="12.75">
      <c r="B2329" s="166"/>
      <c r="C2329" s="245"/>
      <c r="D2329" s="244"/>
      <c r="E2329" s="244"/>
      <c r="G2329" s="352"/>
      <c r="H2329" s="352"/>
    </row>
    <row r="2330" spans="2:8" ht="12.75">
      <c r="B2330" s="341"/>
      <c r="C2330" s="221">
        <v>255200</v>
      </c>
      <c r="D2330" s="222" t="s">
        <v>1811</v>
      </c>
      <c r="E2330" s="244"/>
      <c r="G2330" s="352"/>
      <c r="H2330" s="352"/>
    </row>
    <row r="2331" spans="1:8" ht="12.75">
      <c r="A2331" s="334" t="s">
        <v>1712</v>
      </c>
      <c r="B2331" s="166"/>
      <c r="C2331" s="252"/>
      <c r="D2331" s="253" t="s">
        <v>1713</v>
      </c>
      <c r="E2331" s="244"/>
      <c r="G2331" s="349">
        <f>H91</f>
        <v>0</v>
      </c>
      <c r="H2331" s="352">
        <v>0</v>
      </c>
    </row>
    <row r="2332" spans="1:8" ht="15">
      <c r="A2332" s="334" t="s">
        <v>252</v>
      </c>
      <c r="B2332" s="166"/>
      <c r="C2332" s="166"/>
      <c r="D2332" s="166" t="s">
        <v>253</v>
      </c>
      <c r="E2332" s="244"/>
      <c r="G2332" s="350">
        <f>H103-G103</f>
        <v>0</v>
      </c>
      <c r="H2332" s="350">
        <v>0</v>
      </c>
    </row>
    <row r="2333" spans="2:8" ht="15">
      <c r="B2333" s="166"/>
      <c r="C2333" s="245"/>
      <c r="D2333" s="222" t="s">
        <v>943</v>
      </c>
      <c r="E2333" s="244"/>
      <c r="G2333" s="365">
        <f>SUM(G2331:G2332)</f>
        <v>0</v>
      </c>
      <c r="H2333" s="365">
        <f>SUM(H2331:H2332)</f>
        <v>0</v>
      </c>
    </row>
    <row r="2334" spans="2:8" ht="12.75">
      <c r="B2334" s="166"/>
      <c r="C2334" s="245"/>
      <c r="D2334" s="166"/>
      <c r="E2334" s="244"/>
      <c r="G2334" s="352"/>
      <c r="H2334" s="352"/>
    </row>
    <row r="2335" spans="2:8" ht="12.75">
      <c r="B2335" s="166"/>
      <c r="C2335" s="245"/>
      <c r="E2335" s="222"/>
      <c r="G2335" s="352"/>
      <c r="H2335" s="352"/>
    </row>
    <row r="2336" spans="2:8" ht="12.75">
      <c r="B2336" s="341"/>
      <c r="C2336" s="221">
        <v>257200</v>
      </c>
      <c r="D2336" s="222" t="s">
        <v>426</v>
      </c>
      <c r="E2336" s="244"/>
      <c r="G2336" s="352"/>
      <c r="H2336" s="352"/>
    </row>
    <row r="2337" spans="1:8" ht="12.75">
      <c r="A2337" s="334" t="s">
        <v>582</v>
      </c>
      <c r="B2337" s="166"/>
      <c r="C2337" s="252"/>
      <c r="D2337" s="166" t="s">
        <v>583</v>
      </c>
      <c r="E2337" s="244"/>
      <c r="G2337" s="349">
        <f>H109-G109</f>
        <v>35100222</v>
      </c>
      <c r="H2337" s="352">
        <v>31113085</v>
      </c>
    </row>
    <row r="2338" spans="2:8" ht="12.75">
      <c r="B2338" s="166"/>
      <c r="C2338" s="245"/>
      <c r="D2338" s="222" t="s">
        <v>943</v>
      </c>
      <c r="E2338" s="222"/>
      <c r="G2338" s="353">
        <f>SUM(G2337)</f>
        <v>35100222</v>
      </c>
      <c r="H2338" s="353">
        <f>SUM(H2337)</f>
        <v>31113085</v>
      </c>
    </row>
    <row r="2339" spans="2:8" ht="12.75">
      <c r="B2339" s="166"/>
      <c r="C2339" s="245"/>
      <c r="D2339" s="244"/>
      <c r="E2339" s="244"/>
      <c r="G2339" s="352"/>
      <c r="H2339" s="352"/>
    </row>
    <row r="2340" spans="2:8" ht="12.75">
      <c r="B2340" s="341"/>
      <c r="C2340" s="221">
        <v>261200</v>
      </c>
      <c r="D2340" s="222" t="s">
        <v>577</v>
      </c>
      <c r="E2340" s="244"/>
      <c r="G2340" s="352"/>
      <c r="H2340" s="352"/>
    </row>
    <row r="2341" spans="1:8" ht="12.75">
      <c r="A2341" s="334" t="s">
        <v>1789</v>
      </c>
      <c r="B2341" s="166"/>
      <c r="C2341" s="252"/>
      <c r="D2341" s="253" t="s">
        <v>1790</v>
      </c>
      <c r="E2341" s="244"/>
      <c r="G2341" s="352">
        <f>H105-G105</f>
        <v>466771944</v>
      </c>
      <c r="H2341" s="352">
        <v>-142684747</v>
      </c>
    </row>
    <row r="2342" spans="1:8" ht="12.75">
      <c r="A2342" s="334" t="s">
        <v>1793</v>
      </c>
      <c r="B2342" s="166"/>
      <c r="C2342" s="252"/>
      <c r="D2342" s="166" t="s">
        <v>579</v>
      </c>
      <c r="E2342" s="244"/>
      <c r="G2342" s="352">
        <f>H107-G107</f>
        <v>0</v>
      </c>
      <c r="H2342" s="352">
        <v>0</v>
      </c>
    </row>
    <row r="2343" spans="2:8" ht="12.75">
      <c r="B2343" s="166"/>
      <c r="C2343" s="245"/>
      <c r="D2343" s="244" t="s">
        <v>1542</v>
      </c>
      <c r="E2343" s="244"/>
      <c r="G2343" s="349">
        <v>828938662.28</v>
      </c>
      <c r="H2343" s="352">
        <v>978120459</v>
      </c>
    </row>
    <row r="2344" spans="2:8" ht="12.75">
      <c r="B2344" s="166"/>
      <c r="C2344" s="245"/>
      <c r="D2344" s="222" t="s">
        <v>1543</v>
      </c>
      <c r="E2344" s="244"/>
      <c r="G2344" s="353">
        <f>SUM(G2341:G2343)</f>
        <v>1295710606.28</v>
      </c>
      <c r="H2344" s="353">
        <f>SUM(H2341:H2343)</f>
        <v>835435712</v>
      </c>
    </row>
    <row r="2345" spans="2:8" ht="12.75">
      <c r="B2345" s="166"/>
      <c r="C2345" s="245"/>
      <c r="D2345" s="244"/>
      <c r="E2345" s="244"/>
      <c r="G2345" s="352"/>
      <c r="H2345" s="352"/>
    </row>
    <row r="2346" spans="2:8" ht="12.75">
      <c r="B2346" s="166"/>
      <c r="C2346" s="221">
        <v>261400</v>
      </c>
      <c r="D2346" s="222" t="s">
        <v>578</v>
      </c>
      <c r="E2346" s="244"/>
      <c r="G2346" s="352"/>
      <c r="H2346" s="352"/>
    </row>
    <row r="2347" spans="1:8" ht="12.75">
      <c r="A2347" s="334" t="s">
        <v>1145</v>
      </c>
      <c r="B2347" s="166"/>
      <c r="C2347" s="166"/>
      <c r="D2347" s="166" t="s">
        <v>1544</v>
      </c>
      <c r="E2347" s="244"/>
      <c r="G2347" s="349">
        <f>H132-G132</f>
        <v>2591304325</v>
      </c>
      <c r="H2347" s="352">
        <v>1773824655</v>
      </c>
    </row>
    <row r="2348" spans="2:8" ht="12.75">
      <c r="B2348" s="166"/>
      <c r="C2348" s="245"/>
      <c r="D2348" s="222" t="s">
        <v>260</v>
      </c>
      <c r="E2348" s="244"/>
      <c r="G2348" s="353">
        <f>SUM(G2347)</f>
        <v>2591304325</v>
      </c>
      <c r="H2348" s="353">
        <f>SUM(H2347)</f>
        <v>1773824655</v>
      </c>
    </row>
    <row r="2349" spans="2:8" ht="12.75">
      <c r="B2349" s="166"/>
      <c r="C2349" s="245"/>
      <c r="D2349" s="244"/>
      <c r="E2349" s="244"/>
      <c r="G2349" s="352"/>
      <c r="H2349" s="352"/>
    </row>
    <row r="2350" spans="2:8" ht="15">
      <c r="B2350" s="166"/>
      <c r="C2350" s="221">
        <v>262000</v>
      </c>
      <c r="D2350" s="222" t="s">
        <v>1749</v>
      </c>
      <c r="E2350" s="244"/>
      <c r="G2350" s="365">
        <f>G2344+G2348</f>
        <v>3887014931.2799997</v>
      </c>
      <c r="H2350" s="365">
        <f>H2344+H2348</f>
        <v>2609260367</v>
      </c>
    </row>
    <row r="2351" spans="2:8" ht="12.75">
      <c r="B2351" s="166"/>
      <c r="C2351" s="245"/>
      <c r="D2351" s="244"/>
      <c r="E2351" s="244"/>
      <c r="G2351" s="353"/>
      <c r="H2351" s="352"/>
    </row>
    <row r="2352" spans="2:8" ht="12.75">
      <c r="B2352" s="166"/>
      <c r="C2352" s="245"/>
      <c r="D2352" s="244"/>
      <c r="E2352" s="244"/>
      <c r="G2352" s="352"/>
      <c r="H2352" s="352"/>
    </row>
    <row r="2353" spans="2:8" ht="12.75">
      <c r="B2353" s="341"/>
      <c r="C2353" s="221">
        <v>263200</v>
      </c>
      <c r="D2353" s="222" t="s">
        <v>261</v>
      </c>
      <c r="E2353" s="244"/>
      <c r="G2353" s="352"/>
      <c r="H2353" s="352"/>
    </row>
    <row r="2354" spans="1:8" ht="12.75">
      <c r="A2354" s="334" t="s">
        <v>1791</v>
      </c>
      <c r="B2354" s="166"/>
      <c r="C2354" s="252"/>
      <c r="D2354" s="253" t="s">
        <v>1792</v>
      </c>
      <c r="E2354" s="244"/>
      <c r="G2354" s="352">
        <f>H106-G106</f>
        <v>1058900</v>
      </c>
      <c r="H2354" s="352">
        <v>-1776845</v>
      </c>
    </row>
    <row r="2355" spans="1:8" ht="12.75">
      <c r="A2355" s="334"/>
      <c r="B2355" s="166"/>
      <c r="C2355" s="252"/>
      <c r="D2355" s="166"/>
      <c r="E2355" s="244"/>
      <c r="G2355" s="352"/>
      <c r="H2355" s="352">
        <v>0</v>
      </c>
    </row>
    <row r="2356" spans="1:8" ht="12.75">
      <c r="A2356" s="334" t="s">
        <v>586</v>
      </c>
      <c r="B2356" s="166"/>
      <c r="C2356" s="252"/>
      <c r="D2356" s="166" t="s">
        <v>769</v>
      </c>
      <c r="E2356" s="244"/>
      <c r="G2356" s="352">
        <f>H111-G111</f>
        <v>0</v>
      </c>
      <c r="H2356" s="352">
        <v>0</v>
      </c>
    </row>
    <row r="2357" spans="1:8" ht="12.75">
      <c r="A2357" s="334" t="s">
        <v>770</v>
      </c>
      <c r="B2357" s="166"/>
      <c r="C2357" s="252"/>
      <c r="D2357" s="166" t="s">
        <v>771</v>
      </c>
      <c r="E2357" s="244"/>
      <c r="G2357" s="352">
        <f>H112-G112</f>
        <v>20662331</v>
      </c>
      <c r="H2357" s="352">
        <v>14127178</v>
      </c>
    </row>
    <row r="2358" spans="1:8" ht="12.75">
      <c r="A2358" s="334" t="s">
        <v>750</v>
      </c>
      <c r="B2358" s="166"/>
      <c r="C2358" s="252"/>
      <c r="D2358" s="253" t="s">
        <v>751</v>
      </c>
      <c r="E2358" s="244"/>
      <c r="G2358" s="352">
        <f>H113-G113</f>
        <v>1285175080</v>
      </c>
      <c r="H2358" s="352">
        <v>1663518421</v>
      </c>
    </row>
    <row r="2359" spans="1:8" ht="12.75">
      <c r="A2359" s="334" t="s">
        <v>752</v>
      </c>
      <c r="B2359" s="166"/>
      <c r="C2359" s="252"/>
      <c r="D2359" s="253" t="s">
        <v>753</v>
      </c>
      <c r="E2359" s="244"/>
      <c r="G2359" s="352">
        <f>H114-G114</f>
        <v>0</v>
      </c>
      <c r="H2359" s="352">
        <v>0</v>
      </c>
    </row>
    <row r="2360" spans="1:8" ht="12.75">
      <c r="A2360" s="334" t="s">
        <v>754</v>
      </c>
      <c r="B2360" s="166"/>
      <c r="C2360" s="252"/>
      <c r="D2360" s="166" t="s">
        <v>755</v>
      </c>
      <c r="E2360" s="244"/>
      <c r="G2360" s="352">
        <f>H115-G115</f>
        <v>0</v>
      </c>
      <c r="H2360" s="352">
        <v>0</v>
      </c>
    </row>
    <row r="2361" spans="1:8" ht="12.75">
      <c r="A2361" s="334" t="s">
        <v>1494</v>
      </c>
      <c r="B2361" s="166"/>
      <c r="C2361" s="166"/>
      <c r="D2361" s="166" t="s">
        <v>1495</v>
      </c>
      <c r="E2361" s="244"/>
      <c r="G2361" s="352">
        <f>H126</f>
        <v>0</v>
      </c>
      <c r="H2361" s="352">
        <v>0</v>
      </c>
    </row>
    <row r="2362" spans="1:8" ht="12.75">
      <c r="A2362" s="334" t="s">
        <v>1147</v>
      </c>
      <c r="B2362" s="166"/>
      <c r="C2362" s="166"/>
      <c r="D2362" s="166" t="s">
        <v>1148</v>
      </c>
      <c r="E2362" s="244"/>
      <c r="G2362" s="352">
        <f aca="true" t="shared" si="37" ref="G2362:G2367">H133-G133</f>
        <v>0</v>
      </c>
      <c r="H2362" s="352">
        <v>0</v>
      </c>
    </row>
    <row r="2363" spans="1:8" ht="12.75">
      <c r="A2363" s="334" t="s">
        <v>464</v>
      </c>
      <c r="B2363" s="166"/>
      <c r="C2363" s="166"/>
      <c r="D2363" s="166" t="s">
        <v>465</v>
      </c>
      <c r="E2363" s="244"/>
      <c r="G2363" s="352">
        <f t="shared" si="37"/>
        <v>0</v>
      </c>
      <c r="H2363" s="352">
        <v>0</v>
      </c>
    </row>
    <row r="2364" spans="1:8" ht="12.75">
      <c r="A2364" s="334" t="s">
        <v>467</v>
      </c>
      <c r="B2364" s="166"/>
      <c r="C2364" s="166"/>
      <c r="D2364" s="166" t="s">
        <v>1971</v>
      </c>
      <c r="E2364" s="244"/>
      <c r="G2364" s="352">
        <f t="shared" si="37"/>
        <v>21143887</v>
      </c>
      <c r="H2364" s="349">
        <v>17534871</v>
      </c>
    </row>
    <row r="2365" spans="1:8" ht="12.75">
      <c r="A2365" s="334" t="s">
        <v>1972</v>
      </c>
      <c r="B2365" s="166"/>
      <c r="C2365" s="166"/>
      <c r="D2365" s="166" t="s">
        <v>1973</v>
      </c>
      <c r="E2365" s="244"/>
      <c r="F2365" s="379">
        <v>275952742</v>
      </c>
      <c r="G2365" s="352">
        <f t="shared" si="37"/>
        <v>276049879</v>
      </c>
      <c r="H2365" s="352">
        <v>530290582</v>
      </c>
    </row>
    <row r="2366" spans="1:8" ht="12.75">
      <c r="A2366" s="334" t="s">
        <v>1974</v>
      </c>
      <c r="B2366" s="166"/>
      <c r="C2366" s="166"/>
      <c r="D2366" s="166" t="s">
        <v>1975</v>
      </c>
      <c r="E2366" s="244"/>
      <c r="F2366" s="366">
        <f>G2365-F2365</f>
        <v>97137</v>
      </c>
      <c r="G2366" s="352">
        <f t="shared" si="37"/>
        <v>0</v>
      </c>
      <c r="H2366" s="352">
        <v>0</v>
      </c>
    </row>
    <row r="2367" spans="1:8" ht="12.75">
      <c r="A2367" s="334" t="s">
        <v>1976</v>
      </c>
      <c r="B2367" s="166"/>
      <c r="C2367" s="166"/>
      <c r="D2367" s="166" t="s">
        <v>1977</v>
      </c>
      <c r="E2367" s="244"/>
      <c r="G2367" s="352">
        <f t="shared" si="37"/>
        <v>0</v>
      </c>
      <c r="H2367" s="352">
        <v>0</v>
      </c>
    </row>
    <row r="2368" spans="1:8" ht="12.75">
      <c r="A2368" s="334" t="s">
        <v>1980</v>
      </c>
      <c r="B2368" s="166"/>
      <c r="C2368" s="166"/>
      <c r="D2368" s="166" t="s">
        <v>1981</v>
      </c>
      <c r="E2368" s="244"/>
      <c r="G2368" s="352">
        <f>H140-G140</f>
        <v>6000</v>
      </c>
      <c r="H2368" s="352">
        <v>1907825</v>
      </c>
    </row>
    <row r="2369" spans="1:8" ht="12.75">
      <c r="A2369" s="334" t="s">
        <v>1984</v>
      </c>
      <c r="B2369" s="166"/>
      <c r="C2369" s="166"/>
      <c r="D2369" s="166" t="s">
        <v>1105</v>
      </c>
      <c r="E2369" s="244"/>
      <c r="G2369" s="352">
        <f>H142-G142</f>
        <v>143288</v>
      </c>
      <c r="H2369" s="352">
        <v>19766935</v>
      </c>
    </row>
    <row r="2370" spans="4:8" ht="12.75">
      <c r="D2370" s="348" t="s">
        <v>1106</v>
      </c>
      <c r="E2370" s="244"/>
      <c r="G2370" s="352">
        <f>G2226</f>
        <v>756907149.63</v>
      </c>
      <c r="H2370" s="352">
        <v>667351144</v>
      </c>
    </row>
    <row r="2371" spans="4:8" ht="12.75">
      <c r="D2371" s="348" t="s">
        <v>1107</v>
      </c>
      <c r="E2371" s="244"/>
      <c r="G2371" s="352">
        <f>1799112917-G77</f>
        <v>0</v>
      </c>
      <c r="H2371" s="352">
        <v>0</v>
      </c>
    </row>
    <row r="2372" spans="4:8" ht="12.75">
      <c r="D2372" s="348" t="s">
        <v>1108</v>
      </c>
      <c r="E2372" s="244"/>
      <c r="G2372" s="352">
        <f>H53</f>
        <v>7199900</v>
      </c>
      <c r="H2372" s="352">
        <v>7199900</v>
      </c>
    </row>
    <row r="2373" spans="4:8" ht="15">
      <c r="D2373" s="348" t="s">
        <v>193</v>
      </c>
      <c r="E2373" s="244"/>
      <c r="G2373" s="350">
        <f>H55</f>
        <v>2740391</v>
      </c>
      <c r="H2373" s="350">
        <v>2740391</v>
      </c>
    </row>
    <row r="2374" spans="2:8" ht="15">
      <c r="B2374" s="341"/>
      <c r="C2374" s="221"/>
      <c r="D2374" s="222" t="s">
        <v>943</v>
      </c>
      <c r="E2374" s="244"/>
      <c r="G2374" s="365">
        <f>SUM(G2354:G2373)</f>
        <v>2371086805.63</v>
      </c>
      <c r="H2374" s="365">
        <f>SUM(H2354:H2373)</f>
        <v>2922660402</v>
      </c>
    </row>
    <row r="2375" spans="2:8" ht="12.75">
      <c r="B2375" s="166"/>
      <c r="C2375" s="245"/>
      <c r="D2375" s="244"/>
      <c r="E2375" s="244"/>
      <c r="G2375" s="353"/>
      <c r="H2375" s="352"/>
    </row>
    <row r="2376" spans="2:8" ht="12.75">
      <c r="B2376" s="341"/>
      <c r="C2376" s="221">
        <v>263600</v>
      </c>
      <c r="D2376" s="222" t="s">
        <v>428</v>
      </c>
      <c r="E2376" s="244"/>
      <c r="G2376" s="352"/>
      <c r="H2376" s="352"/>
    </row>
    <row r="2377" spans="1:8" ht="12.75">
      <c r="A2377" s="334" t="s">
        <v>756</v>
      </c>
      <c r="B2377" s="341"/>
      <c r="C2377" s="221"/>
      <c r="D2377" s="228" t="s">
        <v>1109</v>
      </c>
      <c r="E2377" s="228"/>
      <c r="F2377" s="228"/>
      <c r="G2377" s="352">
        <f aca="true" t="shared" si="38" ref="G2377:G2386">H116-G116</f>
        <v>0</v>
      </c>
      <c r="H2377" s="349">
        <v>-194426</v>
      </c>
    </row>
    <row r="2378" spans="1:8" ht="12.75">
      <c r="A2378" s="334" t="s">
        <v>1068</v>
      </c>
      <c r="B2378" s="341"/>
      <c r="C2378" s="221"/>
      <c r="D2378" s="166" t="s">
        <v>1069</v>
      </c>
      <c r="E2378" s="228"/>
      <c r="F2378" s="228"/>
      <c r="G2378" s="352">
        <f t="shared" si="38"/>
        <v>39452618</v>
      </c>
      <c r="H2378" s="349">
        <v>0</v>
      </c>
    </row>
    <row r="2379" spans="1:8" ht="12.75">
      <c r="A2379" s="334" t="s">
        <v>232</v>
      </c>
      <c r="B2379" s="166"/>
      <c r="C2379" s="252"/>
      <c r="D2379" s="166" t="s">
        <v>233</v>
      </c>
      <c r="E2379" s="244"/>
      <c r="G2379" s="352">
        <f t="shared" si="38"/>
        <v>0</v>
      </c>
      <c r="H2379" s="352">
        <v>0</v>
      </c>
    </row>
    <row r="2380" spans="1:8" ht="12.75">
      <c r="A2380" s="334" t="s">
        <v>234</v>
      </c>
      <c r="B2380" s="166"/>
      <c r="C2380" s="166"/>
      <c r="D2380" s="166" t="s">
        <v>1337</v>
      </c>
      <c r="E2380" s="244"/>
      <c r="G2380" s="352">
        <f t="shared" si="38"/>
        <v>42278720</v>
      </c>
      <c r="H2380" s="352">
        <v>105975</v>
      </c>
    </row>
    <row r="2381" spans="1:8" ht="12.75">
      <c r="A2381" s="334" t="s">
        <v>1338</v>
      </c>
      <c r="B2381" s="166"/>
      <c r="C2381" s="166"/>
      <c r="D2381" s="166" t="s">
        <v>1339</v>
      </c>
      <c r="E2381" s="244"/>
      <c r="G2381" s="352">
        <f t="shared" si="38"/>
        <v>13315451</v>
      </c>
      <c r="H2381" s="349">
        <v>33695</v>
      </c>
    </row>
    <row r="2382" spans="1:8" ht="12.75">
      <c r="A2382" s="334" t="s">
        <v>1340</v>
      </c>
      <c r="B2382" s="166"/>
      <c r="C2382" s="252"/>
      <c r="D2382" s="166" t="s">
        <v>1341</v>
      </c>
      <c r="E2382" s="244"/>
      <c r="G2382" s="352">
        <f t="shared" si="38"/>
        <v>0</v>
      </c>
      <c r="H2382" s="349">
        <v>0</v>
      </c>
    </row>
    <row r="2383" spans="1:8" ht="12.75">
      <c r="A2383" s="334" t="s">
        <v>1342</v>
      </c>
      <c r="B2383" s="166"/>
      <c r="C2383" s="166"/>
      <c r="D2383" s="166" t="s">
        <v>1343</v>
      </c>
      <c r="E2383" s="244"/>
      <c r="G2383" s="352">
        <f t="shared" si="38"/>
        <v>0</v>
      </c>
      <c r="H2383" s="349">
        <v>0</v>
      </c>
    </row>
    <row r="2384" spans="1:8" ht="12.75">
      <c r="A2384" s="334" t="s">
        <v>1344</v>
      </c>
      <c r="B2384" s="166"/>
      <c r="C2384" s="166"/>
      <c r="D2384" s="166" t="s">
        <v>1489</v>
      </c>
      <c r="E2384" s="244"/>
      <c r="G2384" s="352">
        <f t="shared" si="38"/>
        <v>0</v>
      </c>
      <c r="H2384" s="349">
        <v>0</v>
      </c>
    </row>
    <row r="2385" spans="1:8" ht="12.75">
      <c r="A2385" s="334" t="s">
        <v>1490</v>
      </c>
      <c r="B2385" s="166"/>
      <c r="C2385" s="166"/>
      <c r="D2385" s="166" t="s">
        <v>1491</v>
      </c>
      <c r="E2385" s="244"/>
      <c r="G2385" s="352">
        <f t="shared" si="38"/>
        <v>0</v>
      </c>
      <c r="H2385" s="349">
        <v>0</v>
      </c>
    </row>
    <row r="2386" spans="1:8" ht="12.75">
      <c r="A2386" s="334" t="s">
        <v>1492</v>
      </c>
      <c r="B2386" s="166"/>
      <c r="C2386" s="166"/>
      <c r="D2386" s="166" t="s">
        <v>1493</v>
      </c>
      <c r="E2386" s="244"/>
      <c r="G2386" s="352">
        <f t="shared" si="38"/>
        <v>0</v>
      </c>
      <c r="H2386" s="353">
        <v>0</v>
      </c>
    </row>
    <row r="2387" spans="1:8" ht="12.75">
      <c r="A2387" s="334" t="s">
        <v>1496</v>
      </c>
      <c r="B2387" s="166"/>
      <c r="C2387" s="166"/>
      <c r="D2387" s="166" t="s">
        <v>1497</v>
      </c>
      <c r="E2387" s="244"/>
      <c r="G2387" s="352">
        <f>H127-G127</f>
        <v>417528</v>
      </c>
      <c r="H2387" s="353">
        <v>0</v>
      </c>
    </row>
    <row r="2388" spans="1:8" ht="12.75">
      <c r="A2388" s="334" t="s">
        <v>1498</v>
      </c>
      <c r="B2388" s="166"/>
      <c r="C2388" s="166"/>
      <c r="D2388" s="166" t="s">
        <v>1499</v>
      </c>
      <c r="E2388" s="244"/>
      <c r="G2388" s="352">
        <f>H128-G128</f>
        <v>0</v>
      </c>
      <c r="H2388" s="352">
        <v>845478</v>
      </c>
    </row>
    <row r="2389" spans="1:8" ht="12.75">
      <c r="A2389" s="334" t="s">
        <v>1500</v>
      </c>
      <c r="B2389" s="166"/>
      <c r="C2389" s="166"/>
      <c r="D2389" s="166" t="s">
        <v>1501</v>
      </c>
      <c r="E2389" s="244"/>
      <c r="G2389" s="352">
        <f>H129-G129</f>
        <v>0</v>
      </c>
      <c r="H2389" s="352">
        <v>0</v>
      </c>
    </row>
    <row r="2390" spans="1:8" ht="12.75">
      <c r="A2390" s="334" t="s">
        <v>1502</v>
      </c>
      <c r="B2390" s="166"/>
      <c r="C2390" s="166"/>
      <c r="D2390" s="166" t="s">
        <v>1142</v>
      </c>
      <c r="E2390" s="244"/>
      <c r="G2390" s="352">
        <f>H130-G130</f>
        <v>0</v>
      </c>
      <c r="H2390" s="352">
        <v>0</v>
      </c>
    </row>
    <row r="2391" spans="1:8" ht="12.75">
      <c r="A2391" s="334" t="s">
        <v>1143</v>
      </c>
      <c r="B2391" s="166"/>
      <c r="C2391" s="166"/>
      <c r="D2391" s="166" t="s">
        <v>1144</v>
      </c>
      <c r="E2391" s="244"/>
      <c r="G2391" s="352">
        <f>H131-G131</f>
        <v>74358000</v>
      </c>
      <c r="H2391" s="349">
        <v>38944800</v>
      </c>
    </row>
    <row r="2392" spans="1:8" ht="12.75">
      <c r="A2392" s="334" t="s">
        <v>1989</v>
      </c>
      <c r="B2392" s="166"/>
      <c r="C2392" s="166"/>
      <c r="D2392" s="348" t="s">
        <v>1829</v>
      </c>
      <c r="E2392" s="244"/>
      <c r="G2392" s="352">
        <f>H146</f>
        <v>162763323</v>
      </c>
      <c r="H2392" s="352">
        <f>94527471+55929678</f>
        <v>150457149</v>
      </c>
    </row>
    <row r="2393" spans="1:8" ht="12.75">
      <c r="A2393" s="334" t="s">
        <v>1992</v>
      </c>
      <c r="B2393" s="166"/>
      <c r="C2393" s="166"/>
      <c r="D2393" s="348" t="s">
        <v>1830</v>
      </c>
      <c r="E2393" s="244"/>
      <c r="G2393" s="352">
        <f>H148</f>
        <v>54602226</v>
      </c>
      <c r="H2393" s="352">
        <v>54602226</v>
      </c>
    </row>
    <row r="2394" spans="1:8" ht="15">
      <c r="A2394" s="334"/>
      <c r="B2394" s="166"/>
      <c r="C2394" s="166"/>
      <c r="D2394" s="348"/>
      <c r="E2394" s="244"/>
      <c r="G2394" s="350">
        <f>H149-G149</f>
        <v>0</v>
      </c>
      <c r="H2394" s="350">
        <v>0</v>
      </c>
    </row>
    <row r="2395" spans="2:8" ht="15">
      <c r="B2395" s="166"/>
      <c r="C2395" s="245"/>
      <c r="D2395" s="222" t="s">
        <v>943</v>
      </c>
      <c r="E2395" s="244"/>
      <c r="G2395" s="365">
        <f>SUM(G2377:G2394)</f>
        <v>387187866</v>
      </c>
      <c r="H2395" s="365">
        <f>SUM(H2377:H2394)</f>
        <v>244794897</v>
      </c>
    </row>
  </sheetData>
  <sheetProtection/>
  <printOptions/>
  <pageMargins left="0.75" right="0.75" top="1" bottom="1" header="0.5" footer="0.5"/>
  <pageSetup horizontalDpi="600" verticalDpi="600" orientation="portrait" scale="65" r:id="rId1"/>
  <rowBreaks count="1" manualBreakCount="1">
    <brk id="641" max="255" man="1"/>
  </rowBreaks>
</worksheet>
</file>

<file path=xl/worksheets/sheet20.xml><?xml version="1.0" encoding="utf-8"?>
<worksheet xmlns="http://schemas.openxmlformats.org/spreadsheetml/2006/main" xmlns:r="http://schemas.openxmlformats.org/officeDocument/2006/relationships">
  <dimension ref="A1:K17"/>
  <sheetViews>
    <sheetView zoomScalePageLayoutView="0" workbookViewId="0" topLeftCell="A6">
      <selection activeCell="A7" sqref="A7:IV7"/>
    </sheetView>
  </sheetViews>
  <sheetFormatPr defaultColWidth="9.00390625" defaultRowHeight="15.75"/>
  <cols>
    <col min="1" max="1" width="4.75390625" style="429" customWidth="1"/>
    <col min="2" max="2" width="17.625" style="429" customWidth="1"/>
    <col min="3" max="3" width="9.875" style="429" bestFit="1" customWidth="1"/>
    <col min="4" max="4" width="1.25" style="429" customWidth="1"/>
    <col min="5" max="5" width="11.50390625" style="429" customWidth="1"/>
    <col min="6" max="6" width="14.50390625" style="429" customWidth="1"/>
    <col min="7" max="7" width="13.00390625" style="429" customWidth="1"/>
    <col min="8" max="8" width="0.875" style="429" customWidth="1"/>
    <col min="9" max="9" width="12.00390625" style="429" customWidth="1"/>
    <col min="10" max="10" width="1.25" style="429" customWidth="1"/>
    <col min="11" max="16384" width="9.00390625" style="429" customWidth="1"/>
  </cols>
  <sheetData>
    <row r="1" ht="15.75">
      <c r="A1" s="412" t="str">
        <f>Risk!A1</f>
        <v>THE UNITED REPUBLIC OF TANZANIA</v>
      </c>
    </row>
    <row r="2" ht="15.75">
      <c r="A2" s="412" t="str">
        <f>Risk!A2</f>
        <v>PRIME MINISTER’S OFFICE - REGIONAL ADMINISTRATION AND LOCAL GOVERNMENT</v>
      </c>
    </row>
    <row r="3" ht="15.75">
      <c r="A3" s="412" t="str">
        <f>Risk!A3</f>
        <v>BABATI DISTRICT COUNCIL</v>
      </c>
    </row>
    <row r="4" ht="15.75">
      <c r="A4" s="412"/>
    </row>
    <row r="5" ht="15.75">
      <c r="A5" s="412" t="str">
        <f>Risk!A5</f>
        <v>NOTES TO THE FINANCIAL STATEMENTS (Continued)</v>
      </c>
    </row>
    <row r="6" ht="15.75">
      <c r="A6" s="412" t="str">
        <f>Risk!A6</f>
        <v>FOR THE YEAR ENDED 30th. JUNE 2016</v>
      </c>
    </row>
    <row r="7" ht="15.75">
      <c r="A7" s="412"/>
    </row>
    <row r="8" spans="1:11" ht="15.75">
      <c r="A8" s="536">
        <f>Risk!A8+1</f>
        <v>36</v>
      </c>
      <c r="B8" s="524" t="s">
        <v>1821</v>
      </c>
      <c r="C8" s="511"/>
      <c r="D8" s="511"/>
      <c r="E8" s="511"/>
      <c r="F8" s="511"/>
      <c r="G8" s="511"/>
      <c r="H8" s="511"/>
      <c r="I8" s="511"/>
      <c r="J8" s="511"/>
      <c r="K8" s="511"/>
    </row>
    <row r="9" spans="1:11" ht="15.75">
      <c r="A9" s="536"/>
      <c r="B9" s="524"/>
      <c r="C9" s="511"/>
      <c r="D9" s="511"/>
      <c r="E9" s="511"/>
      <c r="F9" s="511"/>
      <c r="G9" s="511"/>
      <c r="H9" s="511"/>
      <c r="I9" s="511"/>
      <c r="J9" s="511"/>
      <c r="K9" s="511"/>
    </row>
    <row r="10" spans="1:11" ht="51" customHeight="1">
      <c r="A10" s="512"/>
      <c r="B10" s="1025" t="s">
        <v>2404</v>
      </c>
      <c r="C10" s="1025"/>
      <c r="D10" s="1025"/>
      <c r="E10" s="1025"/>
      <c r="F10" s="1025"/>
      <c r="G10" s="1025"/>
      <c r="H10" s="1025"/>
      <c r="I10" s="1025"/>
      <c r="J10" s="513"/>
      <c r="K10" s="514"/>
    </row>
    <row r="11" spans="1:11" ht="87" customHeight="1">
      <c r="A11" s="512"/>
      <c r="B11" s="1018" t="s">
        <v>2405</v>
      </c>
      <c r="C11" s="1018"/>
      <c r="D11" s="1018"/>
      <c r="E11" s="1018"/>
      <c r="F11" s="1018"/>
      <c r="G11" s="1018"/>
      <c r="H11" s="1018"/>
      <c r="I11" s="1018"/>
      <c r="J11" s="513"/>
      <c r="K11" s="526"/>
    </row>
    <row r="12" spans="1:11" ht="15.75">
      <c r="A12" s="512"/>
      <c r="B12" s="1025" t="s">
        <v>698</v>
      </c>
      <c r="C12" s="1025"/>
      <c r="D12" s="1025"/>
      <c r="E12" s="1025"/>
      <c r="F12" s="1025"/>
      <c r="G12" s="1025"/>
      <c r="H12" s="1025"/>
      <c r="I12" s="1025"/>
      <c r="J12" s="513"/>
      <c r="K12" s="515"/>
    </row>
    <row r="13" spans="1:11" ht="31.5">
      <c r="A13" s="512"/>
      <c r="B13" s="527" t="s">
        <v>1822</v>
      </c>
      <c r="C13" s="516" t="s">
        <v>2419</v>
      </c>
      <c r="D13" s="516"/>
      <c r="E13" s="1026" t="s">
        <v>1820</v>
      </c>
      <c r="F13" s="1027"/>
      <c r="G13" s="1027"/>
      <c r="H13" s="1027"/>
      <c r="I13" s="1028"/>
      <c r="J13" s="530"/>
      <c r="K13" s="517"/>
    </row>
    <row r="14" spans="1:11" ht="35.25" customHeight="1">
      <c r="A14" s="512"/>
      <c r="B14" s="542" t="s">
        <v>2423</v>
      </c>
      <c r="C14" s="777">
        <v>289741</v>
      </c>
      <c r="D14" s="518"/>
      <c r="E14" s="1022" t="s">
        <v>2424</v>
      </c>
      <c r="F14" s="1023"/>
      <c r="G14" s="1023"/>
      <c r="H14" s="1023"/>
      <c r="I14" s="1024"/>
      <c r="J14" s="530"/>
      <c r="K14" s="517"/>
    </row>
    <row r="15" spans="1:11" ht="33" customHeight="1">
      <c r="A15" s="512"/>
      <c r="B15" s="659" t="s">
        <v>2083</v>
      </c>
      <c r="C15" s="658">
        <v>276045</v>
      </c>
      <c r="D15" s="518"/>
      <c r="E15" s="1022" t="s">
        <v>2420</v>
      </c>
      <c r="F15" s="1023"/>
      <c r="G15" s="1023"/>
      <c r="H15" s="1023"/>
      <c r="I15" s="1024"/>
      <c r="J15" s="530"/>
      <c r="K15" s="517"/>
    </row>
    <row r="16" spans="1:11" ht="30.75" customHeight="1">
      <c r="A16" s="512"/>
      <c r="B16" s="518" t="s">
        <v>2421</v>
      </c>
      <c r="C16" s="542">
        <v>560615</v>
      </c>
      <c r="D16" s="518"/>
      <c r="E16" s="1022" t="s">
        <v>2422</v>
      </c>
      <c r="F16" s="1023"/>
      <c r="G16" s="1023"/>
      <c r="H16" s="1023"/>
      <c r="I16" s="1024"/>
      <c r="J16" s="530"/>
      <c r="K16" s="517"/>
    </row>
    <row r="17" spans="1:11" ht="15.75">
      <c r="A17" s="512"/>
      <c r="B17" s="528"/>
      <c r="E17" s="511"/>
      <c r="F17" s="511"/>
      <c r="G17" s="511"/>
      <c r="H17" s="511"/>
      <c r="I17" s="511"/>
      <c r="J17" s="511"/>
      <c r="K17" s="511"/>
    </row>
  </sheetData>
  <sheetProtection/>
  <mergeCells count="7">
    <mergeCell ref="E14:I14"/>
    <mergeCell ref="E15:I15"/>
    <mergeCell ref="E16:I16"/>
    <mergeCell ref="B10:I10"/>
    <mergeCell ref="B11:I11"/>
    <mergeCell ref="B12:I12"/>
    <mergeCell ref="E13:I13"/>
  </mergeCells>
  <printOptions/>
  <pageMargins left="0.64" right="0.45" top="0.54" bottom="1.01" header="0.5" footer="0.47"/>
  <pageSetup firstPageNumber="46" useFirstPageNumber="1" horizontalDpi="600" verticalDpi="600" orientation="portrait" paperSize="9" r:id="rId1"/>
  <headerFooter alignWithMargins="0">
    <oddFooter>&amp;R&amp;P</oddFooter>
  </headerFooter>
</worksheet>
</file>

<file path=xl/worksheets/sheet21.xml><?xml version="1.0" encoding="utf-8"?>
<worksheet xmlns="http://schemas.openxmlformats.org/spreadsheetml/2006/main" xmlns:r="http://schemas.openxmlformats.org/officeDocument/2006/relationships">
  <dimension ref="A1:AZ39"/>
  <sheetViews>
    <sheetView zoomScale="90" zoomScaleNormal="90" zoomScalePageLayoutView="0" workbookViewId="0" topLeftCell="A7">
      <pane xSplit="2" ySplit="6" topLeftCell="R25" activePane="bottomRight" state="frozen"/>
      <selection pane="topLeft" activeCell="A7" sqref="A7"/>
      <selection pane="topRight" activeCell="C7" sqref="C7"/>
      <selection pane="bottomLeft" activeCell="A13" sqref="A13"/>
      <selection pane="bottomRight" activeCell="Y41" sqref="Y40:Y41"/>
    </sheetView>
  </sheetViews>
  <sheetFormatPr defaultColWidth="9.00390625" defaultRowHeight="15.75"/>
  <cols>
    <col min="1" max="1" width="6.25390625" style="429" customWidth="1"/>
    <col min="2" max="2" width="16.125" style="429" customWidth="1"/>
    <col min="3" max="3" width="9.875" style="429" customWidth="1"/>
    <col min="4" max="4" width="9.75390625" style="429" customWidth="1"/>
    <col min="5" max="5" width="8.625" style="429" customWidth="1"/>
    <col min="6" max="6" width="10.125" style="429" customWidth="1"/>
    <col min="7" max="7" width="12.25390625" style="429" customWidth="1"/>
    <col min="8" max="8" width="10.25390625" style="429" customWidth="1"/>
    <col min="9" max="9" width="9.00390625" style="429" customWidth="1"/>
    <col min="10" max="10" width="8.625" style="429" customWidth="1"/>
    <col min="11" max="11" width="10.50390625" style="429" customWidth="1"/>
    <col min="12" max="14" width="9.00390625" style="429" customWidth="1"/>
    <col min="15" max="15" width="12.375" style="429" customWidth="1"/>
    <col min="16" max="16" width="11.125" style="429" customWidth="1"/>
    <col min="17" max="17" width="11.75390625" style="429" customWidth="1"/>
    <col min="18" max="18" width="10.75390625" style="429" customWidth="1"/>
    <col min="19" max="19" width="10.625" style="429" customWidth="1"/>
    <col min="20" max="20" width="11.50390625" style="429" customWidth="1"/>
    <col min="21" max="21" width="8.50390625" style="429" customWidth="1"/>
    <col min="22" max="22" width="10.25390625" style="429" customWidth="1"/>
    <col min="23" max="23" width="9.625" style="429" customWidth="1"/>
    <col min="24" max="24" width="8.75390625" style="429" customWidth="1"/>
    <col min="25" max="25" width="8.50390625" style="429" customWidth="1"/>
    <col min="26" max="26" width="10.00390625" style="429" customWidth="1"/>
    <col min="27" max="27" width="8.125" style="429" customWidth="1"/>
    <col min="28" max="28" width="8.50390625" style="429" bestFit="1" customWidth="1"/>
    <col min="29" max="29" width="7.875" style="429" customWidth="1"/>
    <col min="30" max="30" width="8.375" style="429" bestFit="1" customWidth="1"/>
    <col min="31" max="31" width="8.875" style="429" bestFit="1" customWidth="1"/>
    <col min="32" max="32" width="10.625" style="429" customWidth="1"/>
    <col min="33" max="33" width="8.75390625" style="429" customWidth="1"/>
    <col min="34" max="34" width="9.50390625" style="429" customWidth="1"/>
    <col min="35" max="35" width="1.25" style="429" customWidth="1"/>
    <col min="36" max="36" width="12.375" style="429" customWidth="1"/>
    <col min="37" max="16384" width="9.00390625" style="429" customWidth="1"/>
  </cols>
  <sheetData>
    <row r="1" ht="15.75">
      <c r="A1" s="412" t="str">
        <f>'[1]Notes'!A1</f>
        <v>THE UNITED REPUBLIC OF TANZANIA</v>
      </c>
    </row>
    <row r="2" ht="15.75">
      <c r="A2" s="412" t="str">
        <f>'[1]Notes'!A2</f>
        <v>PRIME MINISTER’S OFFICE - REGIONAL ADMINISTRATION AND LOCAL GOVERNMENT</v>
      </c>
    </row>
    <row r="3" ht="15.75">
      <c r="A3" s="412" t="str">
        <f>'[1]Notes'!A3</f>
        <v>BABATI DISTRICT COUNCIL</v>
      </c>
    </row>
    <row r="4" ht="15.75">
      <c r="A4" s="412"/>
    </row>
    <row r="5" ht="15.75">
      <c r="A5" s="412" t="str">
        <f>'[1]Notes'!A5</f>
        <v>NOTES TO THE FINANCIAL STATEMENTS (Continued)</v>
      </c>
    </row>
    <row r="6" ht="15.75">
      <c r="A6" s="412" t="str">
        <f>'[1]Notes'!A6</f>
        <v>FOR THE YEAR ENDED 30 JUNE 2009</v>
      </c>
    </row>
    <row r="8" spans="1:2" ht="15.75">
      <c r="A8" s="537">
        <f>BudVsActExp!A8+1</f>
        <v>37</v>
      </c>
      <c r="B8" s="412" t="s">
        <v>375</v>
      </c>
    </row>
    <row r="9" spans="1:2" ht="16.5" thickBot="1">
      <c r="A9" s="537"/>
      <c r="B9" s="412"/>
    </row>
    <row r="10" spans="2:34" s="545" customFormat="1" ht="52.5" thickBot="1">
      <c r="B10" s="546"/>
      <c r="C10" s="546" t="s">
        <v>2067</v>
      </c>
      <c r="D10" s="546" t="s">
        <v>677</v>
      </c>
      <c r="E10" s="1029" t="s">
        <v>441</v>
      </c>
      <c r="F10" s="1029"/>
      <c r="G10" s="1029"/>
      <c r="H10" s="1029"/>
      <c r="I10" s="1029"/>
      <c r="J10" s="1029"/>
      <c r="K10" s="1029"/>
      <c r="L10" s="1029" t="s">
        <v>816</v>
      </c>
      <c r="M10" s="1029"/>
      <c r="N10" s="1029"/>
      <c r="O10" s="1029"/>
      <c r="P10" s="1029" t="s">
        <v>676</v>
      </c>
      <c r="Q10" s="1029"/>
      <c r="R10" s="1029"/>
      <c r="S10" s="1029"/>
      <c r="T10" s="1029"/>
      <c r="U10" s="1029"/>
      <c r="V10" s="1029"/>
      <c r="W10" s="1029"/>
      <c r="X10" s="1029" t="s">
        <v>2</v>
      </c>
      <c r="Y10" s="1029"/>
      <c r="Z10" s="1029"/>
      <c r="AA10" s="1029"/>
      <c r="AB10" s="1029"/>
      <c r="AC10" s="1029"/>
      <c r="AD10" s="1029"/>
      <c r="AE10" s="1029"/>
      <c r="AF10" s="1029"/>
      <c r="AG10" s="1030"/>
      <c r="AH10" s="552" t="s">
        <v>943</v>
      </c>
    </row>
    <row r="11" spans="2:52" s="547" customFormat="1" ht="69.75" thickBot="1">
      <c r="B11" s="548"/>
      <c r="C11" s="548"/>
      <c r="D11" s="548"/>
      <c r="E11" s="548" t="s">
        <v>442</v>
      </c>
      <c r="F11" s="548" t="s">
        <v>443</v>
      </c>
      <c r="G11" s="548" t="s">
        <v>726</v>
      </c>
      <c r="H11" s="548" t="s">
        <v>670</v>
      </c>
      <c r="I11" s="548" t="s">
        <v>671</v>
      </c>
      <c r="J11" s="548" t="s">
        <v>672</v>
      </c>
      <c r="K11" s="548" t="s">
        <v>673</v>
      </c>
      <c r="L11" s="548" t="s">
        <v>674</v>
      </c>
      <c r="M11" s="548" t="s">
        <v>377</v>
      </c>
      <c r="N11" s="548" t="s">
        <v>675</v>
      </c>
      <c r="O11" s="548" t="s">
        <v>726</v>
      </c>
      <c r="P11" s="548" t="s">
        <v>678</v>
      </c>
      <c r="Q11" s="548" t="s">
        <v>679</v>
      </c>
      <c r="R11" s="548" t="s">
        <v>680</v>
      </c>
      <c r="S11" s="548" t="s">
        <v>681</v>
      </c>
      <c r="T11" s="548" t="s">
        <v>682</v>
      </c>
      <c r="U11" s="548" t="s">
        <v>683</v>
      </c>
      <c r="V11" s="548" t="s">
        <v>376</v>
      </c>
      <c r="W11" s="548" t="s">
        <v>684</v>
      </c>
      <c r="X11" s="548" t="s">
        <v>685</v>
      </c>
      <c r="Y11" s="548" t="s">
        <v>686</v>
      </c>
      <c r="Z11" s="548" t="s">
        <v>1268</v>
      </c>
      <c r="AA11" s="548" t="s">
        <v>687</v>
      </c>
      <c r="AB11" s="548" t="s">
        <v>688</v>
      </c>
      <c r="AC11" s="548" t="s">
        <v>225</v>
      </c>
      <c r="AD11" s="548" t="s">
        <v>226</v>
      </c>
      <c r="AE11" s="548" t="s">
        <v>227</v>
      </c>
      <c r="AF11" s="548" t="s">
        <v>228</v>
      </c>
      <c r="AG11" s="549" t="s">
        <v>229</v>
      </c>
      <c r="AH11" s="550"/>
      <c r="AI11" s="551"/>
      <c r="AJ11" s="551"/>
      <c r="AK11" s="551"/>
      <c r="AL11" s="551"/>
      <c r="AM11" s="551"/>
      <c r="AN11" s="551"/>
      <c r="AO11" s="551"/>
      <c r="AP11" s="551"/>
      <c r="AQ11" s="551"/>
      <c r="AR11" s="551"/>
      <c r="AS11" s="551"/>
      <c r="AT11" s="551"/>
      <c r="AU11" s="551"/>
      <c r="AV11" s="551"/>
      <c r="AW11" s="551"/>
      <c r="AX11" s="551"/>
      <c r="AY11" s="551"/>
      <c r="AZ11" s="551"/>
    </row>
    <row r="12" spans="2:34" s="545" customFormat="1" ht="18" thickBot="1">
      <c r="B12" s="567"/>
      <c r="C12" s="568" t="s">
        <v>1202</v>
      </c>
      <c r="D12" s="568" t="s">
        <v>1202</v>
      </c>
      <c r="E12" s="568" t="s">
        <v>1202</v>
      </c>
      <c r="F12" s="568" t="s">
        <v>1202</v>
      </c>
      <c r="G12" s="568" t="s">
        <v>1202</v>
      </c>
      <c r="H12" s="568" t="s">
        <v>1202</v>
      </c>
      <c r="I12" s="568" t="s">
        <v>1202</v>
      </c>
      <c r="J12" s="568" t="s">
        <v>1202</v>
      </c>
      <c r="K12" s="568" t="s">
        <v>1202</v>
      </c>
      <c r="L12" s="568" t="s">
        <v>1202</v>
      </c>
      <c r="M12" s="568" t="s">
        <v>1202</v>
      </c>
      <c r="N12" s="568" t="s">
        <v>1202</v>
      </c>
      <c r="O12" s="568" t="s">
        <v>1202</v>
      </c>
      <c r="P12" s="568" t="s">
        <v>1202</v>
      </c>
      <c r="Q12" s="568" t="s">
        <v>1202</v>
      </c>
      <c r="R12" s="568" t="s">
        <v>1202</v>
      </c>
      <c r="S12" s="568" t="s">
        <v>1202</v>
      </c>
      <c r="T12" s="568" t="s">
        <v>1202</v>
      </c>
      <c r="U12" s="568" t="s">
        <v>1202</v>
      </c>
      <c r="V12" s="568" t="s">
        <v>1202</v>
      </c>
      <c r="W12" s="568" t="s">
        <v>1202</v>
      </c>
      <c r="X12" s="568" t="s">
        <v>1202</v>
      </c>
      <c r="Y12" s="568" t="s">
        <v>1202</v>
      </c>
      <c r="Z12" s="568" t="s">
        <v>1202</v>
      </c>
      <c r="AA12" s="568" t="s">
        <v>1202</v>
      </c>
      <c r="AB12" s="568" t="s">
        <v>1202</v>
      </c>
      <c r="AC12" s="568" t="s">
        <v>1202</v>
      </c>
      <c r="AD12" s="568" t="s">
        <v>1202</v>
      </c>
      <c r="AE12" s="568" t="s">
        <v>1202</v>
      </c>
      <c r="AF12" s="568" t="s">
        <v>1202</v>
      </c>
      <c r="AG12" s="568" t="s">
        <v>1202</v>
      </c>
      <c r="AH12" s="569" t="s">
        <v>1202</v>
      </c>
    </row>
    <row r="13" spans="1:34" s="538" customFormat="1" ht="18">
      <c r="A13" s="749">
        <v>1</v>
      </c>
      <c r="B13" s="564" t="s">
        <v>1714</v>
      </c>
      <c r="C13" s="565">
        <v>5874</v>
      </c>
      <c r="D13" s="565"/>
      <c r="E13" s="565"/>
      <c r="F13" s="565"/>
      <c r="G13" s="565">
        <v>57845</v>
      </c>
      <c r="H13" s="565">
        <v>47856</v>
      </c>
      <c r="I13" s="565">
        <f>487500+150000</f>
        <v>637500</v>
      </c>
      <c r="J13" s="565">
        <v>21400</v>
      </c>
      <c r="K13" s="565"/>
      <c r="L13" s="565"/>
      <c r="M13" s="565">
        <v>15721</v>
      </c>
      <c r="N13" s="565"/>
      <c r="O13" s="565"/>
      <c r="P13" s="565"/>
      <c r="Q13" s="565"/>
      <c r="R13" s="565"/>
      <c r="S13" s="565"/>
      <c r="T13" s="565"/>
      <c r="U13" s="565"/>
      <c r="V13" s="565"/>
      <c r="W13" s="565"/>
      <c r="X13" s="565"/>
      <c r="Y13" s="565"/>
      <c r="Z13" s="565"/>
      <c r="AA13" s="565"/>
      <c r="AB13" s="565"/>
      <c r="AC13" s="565"/>
      <c r="AD13" s="565"/>
      <c r="AE13" s="565"/>
      <c r="AF13" s="565">
        <v>124875</v>
      </c>
      <c r="AG13" s="565"/>
      <c r="AH13" s="566">
        <f>SUM(C13:AG13)</f>
        <v>911071</v>
      </c>
    </row>
    <row r="14" spans="1:34" s="538" customFormat="1" ht="18">
      <c r="A14" s="749">
        <v>2</v>
      </c>
      <c r="B14" s="539" t="s">
        <v>558</v>
      </c>
      <c r="C14" s="542">
        <v>4578</v>
      </c>
      <c r="D14" s="542"/>
      <c r="E14" s="542"/>
      <c r="F14" s="542"/>
      <c r="G14" s="542">
        <v>45723</v>
      </c>
      <c r="H14" s="542">
        <v>57842</v>
      </c>
      <c r="I14" s="542">
        <v>124500</v>
      </c>
      <c r="J14" s="542"/>
      <c r="K14" s="542"/>
      <c r="L14" s="542"/>
      <c r="M14" s="542">
        <v>19573</v>
      </c>
      <c r="N14" s="542"/>
      <c r="O14" s="542"/>
      <c r="P14" s="542"/>
      <c r="Q14" s="542"/>
      <c r="R14" s="542"/>
      <c r="S14" s="542"/>
      <c r="T14" s="542"/>
      <c r="U14" s="542"/>
      <c r="V14" s="542"/>
      <c r="W14" s="542"/>
      <c r="X14" s="542"/>
      <c r="Y14" s="542"/>
      <c r="Z14" s="542"/>
      <c r="AA14" s="542"/>
      <c r="AB14" s="542"/>
      <c r="AC14" s="542"/>
      <c r="AD14" s="542"/>
      <c r="AE14" s="542"/>
      <c r="AF14" s="542">
        <v>87945</v>
      </c>
      <c r="AG14" s="542"/>
      <c r="AH14" s="544">
        <f aca="true" t="shared" si="0" ref="AH14:AH35">SUM(C14:AG14)</f>
        <v>340161</v>
      </c>
    </row>
    <row r="15" spans="1:34" s="538" customFormat="1" ht="18.75">
      <c r="A15" s="749">
        <v>3</v>
      </c>
      <c r="B15" s="539" t="s">
        <v>559</v>
      </c>
      <c r="C15" s="542">
        <v>2451</v>
      </c>
      <c r="D15" s="542"/>
      <c r="E15" s="542"/>
      <c r="F15" s="542"/>
      <c r="G15" s="777">
        <v>89745</v>
      </c>
      <c r="H15" s="542">
        <v>124000</v>
      </c>
      <c r="I15" s="542">
        <v>347523</v>
      </c>
      <c r="J15" s="542">
        <v>22470</v>
      </c>
      <c r="K15" s="542">
        <v>21450</v>
      </c>
      <c r="L15" s="542"/>
      <c r="M15" s="542">
        <v>21451</v>
      </c>
      <c r="N15" s="542"/>
      <c r="O15" s="542"/>
      <c r="P15" s="542"/>
      <c r="Q15" s="542"/>
      <c r="R15" s="542"/>
      <c r="S15" s="542"/>
      <c r="T15" s="542"/>
      <c r="U15" s="542"/>
      <c r="V15" s="542"/>
      <c r="W15" s="542"/>
      <c r="X15" s="773">
        <v>145620</v>
      </c>
      <c r="Y15" s="542"/>
      <c r="Z15" s="542"/>
      <c r="AA15" s="542"/>
      <c r="AB15" s="542"/>
      <c r="AC15" s="542"/>
      <c r="AD15" s="542"/>
      <c r="AE15" s="542"/>
      <c r="AF15" s="542">
        <v>132541</v>
      </c>
      <c r="AG15" s="542"/>
      <c r="AH15" s="544">
        <f t="shared" si="0"/>
        <v>907251</v>
      </c>
    </row>
    <row r="16" spans="1:34" s="538" customFormat="1" ht="18.75">
      <c r="A16" s="749">
        <v>4</v>
      </c>
      <c r="B16" s="539" t="s">
        <v>560</v>
      </c>
      <c r="C16" s="542">
        <v>4786</v>
      </c>
      <c r="D16" s="542"/>
      <c r="E16" s="542"/>
      <c r="F16" s="542"/>
      <c r="G16" s="542">
        <v>54789</v>
      </c>
      <c r="H16" s="542">
        <v>62412</v>
      </c>
      <c r="I16" s="542">
        <f>78974+50000</f>
        <v>128974</v>
      </c>
      <c r="J16" s="542"/>
      <c r="K16" s="542"/>
      <c r="L16" s="542"/>
      <c r="M16" s="542">
        <v>12547</v>
      </c>
      <c r="N16" s="542"/>
      <c r="O16" s="542"/>
      <c r="P16" s="542"/>
      <c r="Q16" s="542"/>
      <c r="R16" s="542"/>
      <c r="S16" s="542"/>
      <c r="T16" s="542"/>
      <c r="U16" s="542"/>
      <c r="V16" s="542"/>
      <c r="W16" s="542"/>
      <c r="X16" s="773">
        <v>87952</v>
      </c>
      <c r="Y16" s="542"/>
      <c r="Z16" s="542"/>
      <c r="AA16" s="542"/>
      <c r="AB16" s="542"/>
      <c r="AC16" s="542"/>
      <c r="AD16" s="542"/>
      <c r="AE16" s="542"/>
      <c r="AF16" s="542">
        <v>15192</v>
      </c>
      <c r="AG16" s="542"/>
      <c r="AH16" s="544">
        <f t="shared" si="0"/>
        <v>366652</v>
      </c>
    </row>
    <row r="17" spans="1:34" s="538" customFormat="1" ht="18.75">
      <c r="A17" s="749">
        <v>5</v>
      </c>
      <c r="B17" s="539" t="s">
        <v>561</v>
      </c>
      <c r="C17" s="542">
        <v>6985</v>
      </c>
      <c r="D17" s="542"/>
      <c r="E17" s="542"/>
      <c r="F17" s="542">
        <v>40000</v>
      </c>
      <c r="G17" s="542">
        <v>87469</v>
      </c>
      <c r="H17" s="542">
        <f>87565+254132</f>
        <v>341697</v>
      </c>
      <c r="I17" s="542">
        <v>278438</v>
      </c>
      <c r="J17" s="542">
        <v>15470</v>
      </c>
      <c r="K17" s="542">
        <v>25478</v>
      </c>
      <c r="L17" s="542"/>
      <c r="M17" s="542">
        <v>25461</v>
      </c>
      <c r="N17" s="542"/>
      <c r="O17" s="542"/>
      <c r="P17" s="542"/>
      <c r="Q17" s="542"/>
      <c r="R17" s="542"/>
      <c r="S17" s="542"/>
      <c r="T17" s="542"/>
      <c r="U17" s="542"/>
      <c r="V17" s="542"/>
      <c r="W17" s="542"/>
      <c r="X17" s="773">
        <v>55410</v>
      </c>
      <c r="Y17" s="542"/>
      <c r="Z17" s="542"/>
      <c r="AA17" s="542"/>
      <c r="AB17" s="542"/>
      <c r="AC17" s="542"/>
      <c r="AD17" s="542"/>
      <c r="AE17" s="542"/>
      <c r="AF17" s="542">
        <v>214540</v>
      </c>
      <c r="AG17" s="542"/>
      <c r="AH17" s="544">
        <f t="shared" si="0"/>
        <v>1090948</v>
      </c>
    </row>
    <row r="18" spans="1:34" s="538" customFormat="1" ht="18.75">
      <c r="A18" s="749">
        <v>6</v>
      </c>
      <c r="B18" s="539" t="s">
        <v>562</v>
      </c>
      <c r="C18" s="542">
        <v>4578</v>
      </c>
      <c r="D18" s="542"/>
      <c r="E18" s="542"/>
      <c r="F18" s="542"/>
      <c r="G18" s="542">
        <v>47896</v>
      </c>
      <c r="H18" s="542">
        <v>49542</v>
      </c>
      <c r="I18" s="542">
        <v>147855</v>
      </c>
      <c r="J18" s="542"/>
      <c r="K18" s="542"/>
      <c r="L18" s="542"/>
      <c r="M18" s="542">
        <v>18750</v>
      </c>
      <c r="N18" s="542"/>
      <c r="O18" s="542"/>
      <c r="P18" s="542"/>
      <c r="Q18" s="542"/>
      <c r="R18" s="542"/>
      <c r="S18" s="542"/>
      <c r="T18" s="542"/>
      <c r="U18" s="542"/>
      <c r="V18" s="542"/>
      <c r="W18" s="542"/>
      <c r="X18" s="773">
        <v>214571</v>
      </c>
      <c r="Y18" s="542"/>
      <c r="Z18" s="542"/>
      <c r="AA18" s="542"/>
      <c r="AB18" s="542"/>
      <c r="AC18" s="542"/>
      <c r="AD18" s="542"/>
      <c r="AE18" s="542"/>
      <c r="AF18" s="542">
        <v>145723</v>
      </c>
      <c r="AG18" s="542"/>
      <c r="AH18" s="544">
        <f t="shared" si="0"/>
        <v>628915</v>
      </c>
    </row>
    <row r="19" spans="1:34" s="538" customFormat="1" ht="18.75">
      <c r="A19" s="749">
        <v>7</v>
      </c>
      <c r="B19" s="539" t="s">
        <v>563</v>
      </c>
      <c r="C19" s="542">
        <v>6987</v>
      </c>
      <c r="D19" s="542"/>
      <c r="E19" s="542"/>
      <c r="F19" s="542">
        <v>54210</v>
      </c>
      <c r="G19" s="542">
        <v>59746</v>
      </c>
      <c r="H19" s="542">
        <v>57845</v>
      </c>
      <c r="I19" s="542">
        <v>157820</v>
      </c>
      <c r="J19" s="542">
        <v>35421</v>
      </c>
      <c r="K19" s="542">
        <v>24570</v>
      </c>
      <c r="L19" s="542"/>
      <c r="M19" s="542">
        <v>16257</v>
      </c>
      <c r="N19" s="542"/>
      <c r="O19" s="542">
        <v>6975</v>
      </c>
      <c r="P19" s="542"/>
      <c r="Q19" s="542"/>
      <c r="R19" s="542"/>
      <c r="S19" s="542"/>
      <c r="T19" s="542"/>
      <c r="U19" s="542"/>
      <c r="V19" s="542"/>
      <c r="W19" s="542"/>
      <c r="X19" s="773">
        <v>87952</v>
      </c>
      <c r="Y19" s="542"/>
      <c r="Z19" s="542"/>
      <c r="AA19" s="542"/>
      <c r="AB19" s="542"/>
      <c r="AC19" s="542"/>
      <c r="AD19" s="542"/>
      <c r="AE19" s="542"/>
      <c r="AF19" s="542">
        <v>187452</v>
      </c>
      <c r="AG19" s="542"/>
      <c r="AH19" s="544">
        <f t="shared" si="0"/>
        <v>695235</v>
      </c>
    </row>
    <row r="20" spans="1:34" s="538" customFormat="1" ht="18.75">
      <c r="A20" s="749">
        <v>8</v>
      </c>
      <c r="B20" s="539" t="s">
        <v>564</v>
      </c>
      <c r="C20" s="542">
        <v>5482</v>
      </c>
      <c r="D20" s="542"/>
      <c r="E20" s="542"/>
      <c r="F20" s="542"/>
      <c r="G20" s="542">
        <v>65975</v>
      </c>
      <c r="H20" s="542">
        <v>45789</v>
      </c>
      <c r="I20" s="542">
        <v>254811</v>
      </c>
      <c r="J20" s="542"/>
      <c r="K20" s="542">
        <v>13549</v>
      </c>
      <c r="L20" s="542"/>
      <c r="M20" s="542">
        <v>15773</v>
      </c>
      <c r="N20" s="542"/>
      <c r="O20" s="542">
        <v>21021</v>
      </c>
      <c r="P20" s="542"/>
      <c r="Q20" s="542"/>
      <c r="R20" s="542"/>
      <c r="S20" s="542"/>
      <c r="T20" s="542"/>
      <c r="U20" s="542"/>
      <c r="V20" s="542"/>
      <c r="W20" s="542"/>
      <c r="X20" s="773">
        <v>58792</v>
      </c>
      <c r="Y20" s="542"/>
      <c r="Z20" s="542"/>
      <c r="AA20" s="542"/>
      <c r="AB20" s="542"/>
      <c r="AC20" s="542"/>
      <c r="AD20" s="542"/>
      <c r="AE20" s="542"/>
      <c r="AF20" s="542"/>
      <c r="AG20" s="542"/>
      <c r="AH20" s="544">
        <f t="shared" si="0"/>
        <v>481192</v>
      </c>
    </row>
    <row r="21" spans="1:34" s="538" customFormat="1" ht="18.75">
      <c r="A21" s="749">
        <v>9</v>
      </c>
      <c r="B21" s="539" t="s">
        <v>565</v>
      </c>
      <c r="C21" s="542">
        <f>6987+2900</f>
        <v>9887</v>
      </c>
      <c r="D21" s="542"/>
      <c r="E21" s="542"/>
      <c r="F21" s="542"/>
      <c r="G21" s="542">
        <v>56478</v>
      </c>
      <c r="H21" s="542">
        <v>65782</v>
      </c>
      <c r="I21" s="542">
        <v>124873</v>
      </c>
      <c r="J21" s="542">
        <v>32451</v>
      </c>
      <c r="K21" s="542"/>
      <c r="L21" s="542"/>
      <c r="M21" s="542">
        <v>21451</v>
      </c>
      <c r="N21" s="542"/>
      <c r="O21" s="542"/>
      <c r="P21" s="542"/>
      <c r="Q21" s="542"/>
      <c r="R21" s="542"/>
      <c r="S21" s="542"/>
      <c r="T21" s="542"/>
      <c r="U21" s="542"/>
      <c r="V21" s="542"/>
      <c r="W21" s="542"/>
      <c r="X21" s="773">
        <v>57841</v>
      </c>
      <c r="Y21" s="542"/>
      <c r="Z21" s="542"/>
      <c r="AA21" s="542"/>
      <c r="AB21" s="542"/>
      <c r="AC21" s="542"/>
      <c r="AD21" s="542"/>
      <c r="AE21" s="542"/>
      <c r="AF21" s="542"/>
      <c r="AG21" s="542"/>
      <c r="AH21" s="544">
        <f t="shared" si="0"/>
        <v>368763</v>
      </c>
    </row>
    <row r="22" spans="1:34" s="538" customFormat="1" ht="18.75">
      <c r="A22" s="749">
        <v>10</v>
      </c>
      <c r="B22" s="539" t="s">
        <v>566</v>
      </c>
      <c r="C22" s="542">
        <f>7852+3000</f>
        <v>10852</v>
      </c>
      <c r="D22" s="542"/>
      <c r="E22" s="542"/>
      <c r="F22" s="542"/>
      <c r="G22" s="542">
        <v>64975</v>
      </c>
      <c r="H22" s="542">
        <v>68745</v>
      </c>
      <c r="I22" s="542">
        <v>145786</v>
      </c>
      <c r="J22" s="542"/>
      <c r="K22" s="542"/>
      <c r="L22" s="542"/>
      <c r="M22" s="542">
        <v>12779</v>
      </c>
      <c r="N22" s="542"/>
      <c r="O22" s="542"/>
      <c r="P22" s="542"/>
      <c r="Q22" s="542"/>
      <c r="R22" s="542"/>
      <c r="S22" s="542"/>
      <c r="T22" s="542"/>
      <c r="U22" s="542"/>
      <c r="V22" s="542"/>
      <c r="W22" s="542"/>
      <c r="X22" s="773">
        <v>45786</v>
      </c>
      <c r="Y22" s="542"/>
      <c r="Z22" s="542"/>
      <c r="AA22" s="542"/>
      <c r="AB22" s="542"/>
      <c r="AC22" s="542"/>
      <c r="AD22" s="542"/>
      <c r="AE22" s="542"/>
      <c r="AF22" s="542">
        <v>67842</v>
      </c>
      <c r="AG22" s="542"/>
      <c r="AH22" s="544">
        <f t="shared" si="0"/>
        <v>416765</v>
      </c>
    </row>
    <row r="23" spans="1:34" s="538" customFormat="1" ht="18.75">
      <c r="A23" s="749">
        <v>11</v>
      </c>
      <c r="B23" s="539" t="s">
        <v>567</v>
      </c>
      <c r="C23" s="542">
        <v>2135</v>
      </c>
      <c r="D23" s="542"/>
      <c r="E23" s="542"/>
      <c r="F23" s="542"/>
      <c r="G23" s="542">
        <v>86542</v>
      </c>
      <c r="H23" s="542">
        <v>58794</v>
      </c>
      <c r="I23" s="542">
        <v>124456</v>
      </c>
      <c r="J23" s="542"/>
      <c r="K23" s="542"/>
      <c r="L23" s="542"/>
      <c r="M23" s="542">
        <v>17895</v>
      </c>
      <c r="N23" s="542"/>
      <c r="O23" s="542"/>
      <c r="P23" s="542"/>
      <c r="Q23" s="542"/>
      <c r="R23" s="542"/>
      <c r="S23" s="542"/>
      <c r="T23" s="542"/>
      <c r="U23" s="542"/>
      <c r="V23" s="542"/>
      <c r="W23" s="542"/>
      <c r="X23" s="773">
        <v>97520</v>
      </c>
      <c r="Y23" s="542"/>
      <c r="Z23" s="542"/>
      <c r="AA23" s="542"/>
      <c r="AB23" s="542"/>
      <c r="AC23" s="542"/>
      <c r="AD23" s="542"/>
      <c r="AE23" s="542"/>
      <c r="AF23" s="542"/>
      <c r="AG23" s="542"/>
      <c r="AH23" s="544">
        <f t="shared" si="0"/>
        <v>387342</v>
      </c>
    </row>
    <row r="24" spans="1:34" s="538" customFormat="1" ht="18.75">
      <c r="A24" s="749">
        <v>12</v>
      </c>
      <c r="B24" s="539" t="s">
        <v>568</v>
      </c>
      <c r="C24" s="542">
        <v>6214</v>
      </c>
      <c r="D24" s="542"/>
      <c r="E24" s="542"/>
      <c r="F24" s="542">
        <v>40000</v>
      </c>
      <c r="G24" s="542">
        <v>87566</v>
      </c>
      <c r="H24" s="542">
        <f>69870+120000</f>
        <v>189870</v>
      </c>
      <c r="I24" s="542">
        <f>264785+100000</f>
        <v>364785</v>
      </c>
      <c r="J24" s="542">
        <v>35478</v>
      </c>
      <c r="K24" s="542"/>
      <c r="L24" s="542"/>
      <c r="M24" s="542">
        <v>24170</v>
      </c>
      <c r="N24" s="542"/>
      <c r="O24" s="542"/>
      <c r="P24" s="542"/>
      <c r="Q24" s="542"/>
      <c r="R24" s="542">
        <v>68451</v>
      </c>
      <c r="S24" s="542"/>
      <c r="T24" s="542"/>
      <c r="U24" s="542"/>
      <c r="V24" s="542">
        <v>15000</v>
      </c>
      <c r="W24" s="542"/>
      <c r="X24" s="773">
        <v>58794</v>
      </c>
      <c r="Y24" s="542"/>
      <c r="Z24" s="542"/>
      <c r="AA24" s="542"/>
      <c r="AB24" s="542"/>
      <c r="AC24" s="542"/>
      <c r="AD24" s="542"/>
      <c r="AE24" s="542"/>
      <c r="AF24" s="542">
        <f>97845+5742</f>
        <v>103587</v>
      </c>
      <c r="AG24" s="542"/>
      <c r="AH24" s="544">
        <f t="shared" si="0"/>
        <v>993915</v>
      </c>
    </row>
    <row r="25" spans="1:34" s="538" customFormat="1" ht="18.75">
      <c r="A25" s="749">
        <v>13</v>
      </c>
      <c r="B25" s="539" t="s">
        <v>569</v>
      </c>
      <c r="C25" s="542">
        <v>4875</v>
      </c>
      <c r="D25" s="542"/>
      <c r="E25" s="542"/>
      <c r="F25" s="542"/>
      <c r="G25" s="542">
        <v>69875</v>
      </c>
      <c r="H25" s="542">
        <v>79520</v>
      </c>
      <c r="I25" s="542">
        <f>26578+80000</f>
        <v>106578</v>
      </c>
      <c r="J25" s="542"/>
      <c r="K25" s="542"/>
      <c r="L25" s="542"/>
      <c r="M25" s="542">
        <v>17850</v>
      </c>
      <c r="N25" s="542"/>
      <c r="O25" s="542">
        <v>5472</v>
      </c>
      <c r="P25" s="542"/>
      <c r="Q25" s="542"/>
      <c r="R25" s="542">
        <v>21457</v>
      </c>
      <c r="S25" s="542"/>
      <c r="T25" s="542"/>
      <c r="U25" s="542"/>
      <c r="V25" s="542"/>
      <c r="W25" s="542"/>
      <c r="X25" s="773">
        <v>79462</v>
      </c>
      <c r="Y25" s="542"/>
      <c r="Z25" s="542"/>
      <c r="AA25" s="542"/>
      <c r="AB25" s="542"/>
      <c r="AC25" s="542"/>
      <c r="AD25" s="542"/>
      <c r="AE25" s="542"/>
      <c r="AF25" s="542">
        <f>54785-6648</f>
        <v>48137</v>
      </c>
      <c r="AG25" s="542"/>
      <c r="AH25" s="544">
        <f t="shared" si="0"/>
        <v>433226</v>
      </c>
    </row>
    <row r="26" spans="1:34" s="538" customFormat="1" ht="18.75">
      <c r="A26" s="749">
        <v>14</v>
      </c>
      <c r="B26" s="539" t="s">
        <v>570</v>
      </c>
      <c r="C26" s="775">
        <v>6584</v>
      </c>
      <c r="D26" s="775"/>
      <c r="E26" s="775"/>
      <c r="F26" s="775"/>
      <c r="G26" s="775">
        <v>56795</v>
      </c>
      <c r="H26" s="775">
        <v>58798</v>
      </c>
      <c r="I26" s="775">
        <v>258741</v>
      </c>
      <c r="J26" s="775">
        <v>35786</v>
      </c>
      <c r="K26" s="775"/>
      <c r="L26" s="775"/>
      <c r="M26" s="775">
        <v>54789</v>
      </c>
      <c r="N26" s="775"/>
      <c r="O26" s="775">
        <v>4582</v>
      </c>
      <c r="P26" s="775"/>
      <c r="Q26" s="775"/>
      <c r="R26" s="542">
        <v>12457</v>
      </c>
      <c r="S26" s="542"/>
      <c r="T26" s="542"/>
      <c r="U26" s="542"/>
      <c r="V26" s="542"/>
      <c r="W26" s="542"/>
      <c r="X26" s="773">
        <f>45230+66000</f>
        <v>111230</v>
      </c>
      <c r="Y26" s="542"/>
      <c r="Z26" s="542"/>
      <c r="AA26" s="542"/>
      <c r="AB26" s="542"/>
      <c r="AC26" s="542"/>
      <c r="AD26" s="542"/>
      <c r="AE26" s="542"/>
      <c r="AF26" s="542">
        <v>163574</v>
      </c>
      <c r="AG26" s="542"/>
      <c r="AH26" s="544">
        <f t="shared" si="0"/>
        <v>763336</v>
      </c>
    </row>
    <row r="27" spans="1:34" s="538" customFormat="1" ht="18.75">
      <c r="A27" s="749">
        <v>15</v>
      </c>
      <c r="B27" s="539" t="s">
        <v>571</v>
      </c>
      <c r="C27" s="775">
        <v>3547</v>
      </c>
      <c r="D27" s="775"/>
      <c r="E27" s="775"/>
      <c r="F27" s="775"/>
      <c r="G27" s="775">
        <f>54796+50000</f>
        <v>104796</v>
      </c>
      <c r="H27" s="775">
        <f>57898+100000+391001-197930</f>
        <v>350969</v>
      </c>
      <c r="I27" s="775">
        <v>321547</v>
      </c>
      <c r="J27" s="775"/>
      <c r="K27" s="775"/>
      <c r="L27" s="775"/>
      <c r="M27" s="775">
        <v>25489</v>
      </c>
      <c r="N27" s="775"/>
      <c r="O27" s="775"/>
      <c r="P27" s="775"/>
      <c r="Q27" s="775"/>
      <c r="R27" s="542"/>
      <c r="S27" s="542"/>
      <c r="T27" s="542"/>
      <c r="U27" s="542"/>
      <c r="V27" s="542"/>
      <c r="W27" s="542"/>
      <c r="X27" s="773">
        <v>57962</v>
      </c>
      <c r="Y27" s="542"/>
      <c r="Z27" s="542"/>
      <c r="AA27" s="542"/>
      <c r="AB27" s="542"/>
      <c r="AC27" s="542"/>
      <c r="AD27" s="542"/>
      <c r="AE27" s="542"/>
      <c r="AF27" s="542">
        <f>98753+178420</f>
        <v>277173</v>
      </c>
      <c r="AG27" s="542"/>
      <c r="AH27" s="544">
        <f t="shared" si="0"/>
        <v>1141483</v>
      </c>
    </row>
    <row r="28" spans="1:34" s="538" customFormat="1" ht="18.75">
      <c r="A28" s="749">
        <v>16</v>
      </c>
      <c r="B28" s="539" t="s">
        <v>572</v>
      </c>
      <c r="C28" s="775">
        <v>5687</v>
      </c>
      <c r="D28" s="775"/>
      <c r="E28" s="775"/>
      <c r="F28" s="775"/>
      <c r="G28" s="775">
        <f>68745+40000</f>
        <v>108745</v>
      </c>
      <c r="H28" s="775">
        <v>25478</v>
      </c>
      <c r="I28" s="775">
        <v>117852</v>
      </c>
      <c r="J28" s="775"/>
      <c r="K28" s="775">
        <v>18750</v>
      </c>
      <c r="L28" s="775"/>
      <c r="M28" s="775">
        <v>18755</v>
      </c>
      <c r="N28" s="775"/>
      <c r="O28" s="775">
        <f>9756-2064</f>
        <v>7692</v>
      </c>
      <c r="P28" s="775"/>
      <c r="Q28" s="775"/>
      <c r="R28" s="542"/>
      <c r="S28" s="542"/>
      <c r="T28" s="542"/>
      <c r="U28" s="542"/>
      <c r="V28" s="542"/>
      <c r="W28" s="542"/>
      <c r="X28" s="773">
        <v>25478</v>
      </c>
      <c r="Y28" s="542"/>
      <c r="Z28" s="542"/>
      <c r="AA28" s="542"/>
      <c r="AB28" s="542"/>
      <c r="AC28" s="542"/>
      <c r="AD28" s="542"/>
      <c r="AE28" s="542"/>
      <c r="AF28" s="542">
        <v>57964</v>
      </c>
      <c r="AG28" s="542"/>
      <c r="AH28" s="544">
        <f t="shared" si="0"/>
        <v>386401</v>
      </c>
    </row>
    <row r="29" spans="1:34" s="538" customFormat="1" ht="18.75">
      <c r="A29" s="749">
        <v>17</v>
      </c>
      <c r="B29" s="539" t="s">
        <v>573</v>
      </c>
      <c r="C29" s="775">
        <v>5478</v>
      </c>
      <c r="D29" s="775"/>
      <c r="E29" s="775"/>
      <c r="F29" s="775"/>
      <c r="G29" s="775">
        <f>45758+58460</f>
        <v>104218</v>
      </c>
      <c r="H29" s="775">
        <f>54784+130000</f>
        <v>184784</v>
      </c>
      <c r="I29" s="775">
        <v>187935</v>
      </c>
      <c r="J29" s="775"/>
      <c r="K29" s="775">
        <v>13547</v>
      </c>
      <c r="L29" s="775"/>
      <c r="M29" s="775">
        <v>21457</v>
      </c>
      <c r="N29" s="775"/>
      <c r="O29" s="775">
        <v>2547</v>
      </c>
      <c r="P29" s="775"/>
      <c r="Q29" s="775"/>
      <c r="R29" s="542"/>
      <c r="S29" s="542"/>
      <c r="T29" s="542"/>
      <c r="U29" s="542"/>
      <c r="V29" s="542"/>
      <c r="W29" s="542"/>
      <c r="X29" s="773">
        <f>548742-155075</f>
        <v>393667</v>
      </c>
      <c r="Y29" s="542"/>
      <c r="Z29" s="542"/>
      <c r="AA29" s="542"/>
      <c r="AB29" s="542"/>
      <c r="AC29" s="542"/>
      <c r="AD29" s="542"/>
      <c r="AE29" s="542"/>
      <c r="AF29" s="542">
        <v>125485</v>
      </c>
      <c r="AG29" s="542"/>
      <c r="AH29" s="544">
        <f t="shared" si="0"/>
        <v>1039118</v>
      </c>
    </row>
    <row r="30" spans="1:34" s="538" customFormat="1" ht="18.75">
      <c r="A30" s="749">
        <v>18</v>
      </c>
      <c r="B30" s="539" t="s">
        <v>574</v>
      </c>
      <c r="C30" s="775">
        <f>6598+5000</f>
        <v>11598</v>
      </c>
      <c r="D30" s="775"/>
      <c r="E30" s="775"/>
      <c r="F30" s="775"/>
      <c r="G30" s="775">
        <v>65975</v>
      </c>
      <c r="H30" s="775">
        <f>54785+110000</f>
        <v>164785</v>
      </c>
      <c r="I30" s="775">
        <f>80000+25478</f>
        <v>105478</v>
      </c>
      <c r="J30" s="775"/>
      <c r="K30" s="775">
        <v>15479</v>
      </c>
      <c r="L30" s="775"/>
      <c r="M30" s="775">
        <v>12452</v>
      </c>
      <c r="N30" s="775"/>
      <c r="O30" s="775">
        <v>8752</v>
      </c>
      <c r="P30" s="775"/>
      <c r="Q30" s="775"/>
      <c r="R30" s="542"/>
      <c r="S30" s="542"/>
      <c r="T30" s="542"/>
      <c r="U30" s="542"/>
      <c r="V30" s="542"/>
      <c r="W30" s="542"/>
      <c r="X30" s="773">
        <v>25485</v>
      </c>
      <c r="Y30" s="542"/>
      <c r="Z30" s="542"/>
      <c r="AA30" s="542"/>
      <c r="AB30" s="542"/>
      <c r="AC30" s="542"/>
      <c r="AD30" s="542"/>
      <c r="AE30" s="542"/>
      <c r="AF30" s="542">
        <v>198743</v>
      </c>
      <c r="AG30" s="542"/>
      <c r="AH30" s="544">
        <f t="shared" si="0"/>
        <v>608747</v>
      </c>
    </row>
    <row r="31" spans="1:34" s="538" customFormat="1" ht="18">
      <c r="A31" s="749">
        <v>19</v>
      </c>
      <c r="B31" s="518" t="s">
        <v>264</v>
      </c>
      <c r="C31" s="775">
        <v>2546</v>
      </c>
      <c r="D31" s="775"/>
      <c r="E31" s="775"/>
      <c r="F31" s="775"/>
      <c r="G31" s="775">
        <f>36571+8071</f>
        <v>44642</v>
      </c>
      <c r="H31" s="775">
        <v>64789</v>
      </c>
      <c r="I31" s="775">
        <f>54228+70000</f>
        <v>124228</v>
      </c>
      <c r="J31" s="775"/>
      <c r="K31" s="775"/>
      <c r="L31" s="775"/>
      <c r="M31" s="775">
        <v>12457</v>
      </c>
      <c r="N31" s="775"/>
      <c r="O31" s="775"/>
      <c r="P31" s="775"/>
      <c r="Q31" s="775"/>
      <c r="R31" s="542"/>
      <c r="S31" s="542"/>
      <c r="T31" s="542"/>
      <c r="U31" s="542"/>
      <c r="V31" s="542"/>
      <c r="W31" s="542"/>
      <c r="X31" s="542">
        <v>34523</v>
      </c>
      <c r="Y31" s="542"/>
      <c r="Z31" s="542"/>
      <c r="AA31" s="542"/>
      <c r="AB31" s="542"/>
      <c r="AC31" s="542"/>
      <c r="AD31" s="542"/>
      <c r="AE31" s="542"/>
      <c r="AF31" s="542">
        <v>245830</v>
      </c>
      <c r="AG31" s="542"/>
      <c r="AH31" s="544">
        <f t="shared" si="0"/>
        <v>529015</v>
      </c>
    </row>
    <row r="32" spans="1:34" s="538" customFormat="1" ht="18">
      <c r="A32" s="749">
        <v>20</v>
      </c>
      <c r="B32" s="518" t="s">
        <v>1723</v>
      </c>
      <c r="C32" s="775">
        <v>5478</v>
      </c>
      <c r="D32" s="775"/>
      <c r="E32" s="775"/>
      <c r="F32" s="775"/>
      <c r="G32" s="775">
        <f>47963+60000</f>
        <v>107963</v>
      </c>
      <c r="H32" s="775">
        <f>45781+245000</f>
        <v>290781</v>
      </c>
      <c r="I32" s="775">
        <v>124570</v>
      </c>
      <c r="J32" s="775"/>
      <c r="K32" s="775">
        <v>15478</v>
      </c>
      <c r="L32" s="775"/>
      <c r="M32" s="775">
        <v>24870</v>
      </c>
      <c r="N32" s="775"/>
      <c r="O32" s="775"/>
      <c r="P32" s="775"/>
      <c r="Q32" s="775"/>
      <c r="R32" s="542"/>
      <c r="S32" s="542"/>
      <c r="T32" s="542"/>
      <c r="U32" s="542"/>
      <c r="V32" s="542"/>
      <c r="W32" s="542"/>
      <c r="X32" s="542">
        <v>45210</v>
      </c>
      <c r="Y32" s="542"/>
      <c r="Z32" s="542"/>
      <c r="AA32" s="542"/>
      <c r="AB32" s="542"/>
      <c r="AC32" s="542"/>
      <c r="AD32" s="542"/>
      <c r="AE32" s="542"/>
      <c r="AF32" s="542">
        <f>25478+2063+75126</f>
        <v>102667</v>
      </c>
      <c r="AG32" s="542"/>
      <c r="AH32" s="544">
        <f t="shared" si="0"/>
        <v>717017</v>
      </c>
    </row>
    <row r="33" spans="1:34" s="538" customFormat="1" ht="18">
      <c r="A33" s="749">
        <v>21</v>
      </c>
      <c r="B33" s="518" t="s">
        <v>280</v>
      </c>
      <c r="C33" s="775">
        <v>2541</v>
      </c>
      <c r="D33" s="775"/>
      <c r="E33" s="775"/>
      <c r="F33" s="775"/>
      <c r="G33" s="775">
        <f>42785+50000</f>
        <v>92785</v>
      </c>
      <c r="H33" s="775">
        <f>47845</f>
        <v>47845</v>
      </c>
      <c r="I33" s="775">
        <v>78452</v>
      </c>
      <c r="J33" s="775"/>
      <c r="K33" s="775"/>
      <c r="L33" s="775"/>
      <c r="M33" s="775">
        <v>24173</v>
      </c>
      <c r="N33" s="775"/>
      <c r="O33" s="775"/>
      <c r="P33" s="775"/>
      <c r="Q33" s="775"/>
      <c r="R33" s="542"/>
      <c r="S33" s="542"/>
      <c r="T33" s="542"/>
      <c r="U33" s="542"/>
      <c r="V33" s="542"/>
      <c r="W33" s="542"/>
      <c r="X33" s="542">
        <v>68745</v>
      </c>
      <c r="Y33" s="542"/>
      <c r="Z33" s="542"/>
      <c r="AA33" s="542"/>
      <c r="AB33" s="542"/>
      <c r="AC33" s="542"/>
      <c r="AD33" s="542"/>
      <c r="AE33" s="542"/>
      <c r="AF33" s="542">
        <v>47856</v>
      </c>
      <c r="AG33" s="542"/>
      <c r="AH33" s="544">
        <f t="shared" si="0"/>
        <v>362397</v>
      </c>
    </row>
    <row r="34" spans="1:34" s="538" customFormat="1" ht="18">
      <c r="A34" s="749">
        <v>22</v>
      </c>
      <c r="B34" s="539" t="s">
        <v>1309</v>
      </c>
      <c r="C34" s="775">
        <f>754511-108243+69180+34750+69000-5341</f>
        <v>813857</v>
      </c>
      <c r="D34" s="775">
        <v>124873</v>
      </c>
      <c r="E34" s="775">
        <f>1088000</f>
        <v>1088000</v>
      </c>
      <c r="F34" s="775">
        <v>13026</v>
      </c>
      <c r="G34" s="775">
        <f>1317000+1664000</f>
        <v>2981000</v>
      </c>
      <c r="H34" s="775">
        <f>9531000-3345120-210811</f>
        <v>5975069</v>
      </c>
      <c r="I34" s="775">
        <v>8717000</v>
      </c>
      <c r="J34" s="775"/>
      <c r="K34" s="775">
        <v>254537</v>
      </c>
      <c r="L34" s="775">
        <f>381319-47000+46953+54210</f>
        <v>435482</v>
      </c>
      <c r="M34" s="775">
        <v>12457</v>
      </c>
      <c r="N34" s="775"/>
      <c r="O34" s="775"/>
      <c r="P34" s="775"/>
      <c r="Q34" s="775"/>
      <c r="R34" s="542">
        <v>0</v>
      </c>
      <c r="S34" s="542">
        <v>14579</v>
      </c>
      <c r="T34" s="542"/>
      <c r="U34" s="542"/>
      <c r="V34" s="542">
        <v>0</v>
      </c>
      <c r="W34" s="542">
        <f>21670+6000</f>
        <v>27670</v>
      </c>
      <c r="X34" s="542"/>
      <c r="Y34" s="542"/>
      <c r="Z34" s="542"/>
      <c r="AA34" s="542"/>
      <c r="AB34" s="542"/>
      <c r="AC34" s="542"/>
      <c r="AD34" s="542"/>
      <c r="AE34" s="542"/>
      <c r="AF34" s="542">
        <v>124874</v>
      </c>
      <c r="AG34" s="542"/>
      <c r="AH34" s="987">
        <f t="shared" si="0"/>
        <v>20582424</v>
      </c>
    </row>
    <row r="35" spans="2:36" ht="17.25" thickBot="1">
      <c r="B35" s="541"/>
      <c r="C35" s="776">
        <f aca="true" t="shared" si="1" ref="C35:AG35">SUM(C13:C34)</f>
        <v>933000</v>
      </c>
      <c r="D35" s="776">
        <f t="shared" si="1"/>
        <v>124873</v>
      </c>
      <c r="E35" s="776">
        <f t="shared" si="1"/>
        <v>1088000</v>
      </c>
      <c r="F35" s="776">
        <f t="shared" si="1"/>
        <v>147236</v>
      </c>
      <c r="G35" s="776">
        <f t="shared" si="1"/>
        <v>4541543</v>
      </c>
      <c r="H35" s="776">
        <f t="shared" si="1"/>
        <v>8412992</v>
      </c>
      <c r="I35" s="776">
        <f t="shared" si="1"/>
        <v>12979702</v>
      </c>
      <c r="J35" s="776">
        <f t="shared" si="1"/>
        <v>198476</v>
      </c>
      <c r="K35" s="776">
        <f t="shared" si="1"/>
        <v>402838</v>
      </c>
      <c r="L35" s="776">
        <f t="shared" si="1"/>
        <v>435482</v>
      </c>
      <c r="M35" s="776">
        <f t="shared" si="1"/>
        <v>446577</v>
      </c>
      <c r="N35" s="776">
        <f t="shared" si="1"/>
        <v>0</v>
      </c>
      <c r="O35" s="776">
        <f t="shared" si="1"/>
        <v>57041</v>
      </c>
      <c r="P35" s="776">
        <f t="shared" si="1"/>
        <v>0</v>
      </c>
      <c r="Q35" s="776">
        <f t="shared" si="1"/>
        <v>0</v>
      </c>
      <c r="R35" s="543">
        <f t="shared" si="1"/>
        <v>102365</v>
      </c>
      <c r="S35" s="543">
        <f t="shared" si="1"/>
        <v>14579</v>
      </c>
      <c r="T35" s="543">
        <f t="shared" si="1"/>
        <v>0</v>
      </c>
      <c r="U35" s="543">
        <f t="shared" si="1"/>
        <v>0</v>
      </c>
      <c r="V35" s="543">
        <f t="shared" si="1"/>
        <v>15000</v>
      </c>
      <c r="W35" s="543">
        <f t="shared" si="1"/>
        <v>27670</v>
      </c>
      <c r="X35" s="774">
        <f t="shared" si="1"/>
        <v>1752000</v>
      </c>
      <c r="Y35" s="543">
        <f t="shared" si="1"/>
        <v>0</v>
      </c>
      <c r="Z35" s="543">
        <f t="shared" si="1"/>
        <v>0</v>
      </c>
      <c r="AA35" s="543">
        <f t="shared" si="1"/>
        <v>0</v>
      </c>
      <c r="AB35" s="543">
        <f t="shared" si="1"/>
        <v>0</v>
      </c>
      <c r="AC35" s="543">
        <f t="shared" si="1"/>
        <v>0</v>
      </c>
      <c r="AD35" s="543">
        <f t="shared" si="1"/>
        <v>0</v>
      </c>
      <c r="AE35" s="543">
        <f t="shared" si="1"/>
        <v>0</v>
      </c>
      <c r="AF35" s="543">
        <f t="shared" si="1"/>
        <v>2472000</v>
      </c>
      <c r="AG35" s="543">
        <f t="shared" si="1"/>
        <v>0</v>
      </c>
      <c r="AH35" s="745">
        <f t="shared" si="0"/>
        <v>34151374</v>
      </c>
      <c r="AJ35" s="688"/>
    </row>
    <row r="36" spans="9:36" ht="15.75">
      <c r="I36" s="744"/>
      <c r="AF36" s="779"/>
      <c r="AJ36" s="744"/>
    </row>
    <row r="37" spans="3:36" ht="15.75">
      <c r="C37" s="779"/>
      <c r="I37" s="744"/>
      <c r="O37" s="744"/>
      <c r="T37" s="744"/>
      <c r="X37" s="744"/>
      <c r="AF37" s="777"/>
      <c r="AH37" s="744"/>
      <c r="AJ37" s="744"/>
    </row>
    <row r="38" spans="3:34" ht="15.75">
      <c r="C38" s="744"/>
      <c r="K38" s="744"/>
      <c r="M38" s="744"/>
      <c r="X38" s="744"/>
      <c r="AF38" s="744"/>
      <c r="AH38" s="744"/>
    </row>
    <row r="39" spans="9:20" ht="15.75">
      <c r="I39" s="744"/>
      <c r="M39" s="744"/>
      <c r="T39" s="744"/>
    </row>
  </sheetData>
  <sheetProtection/>
  <mergeCells count="4">
    <mergeCell ref="E10:K10"/>
    <mergeCell ref="L10:O10"/>
    <mergeCell ref="X10:AG10"/>
    <mergeCell ref="P10:W10"/>
  </mergeCells>
  <printOptions/>
  <pageMargins left="0.39" right="0.32" top="0.56" bottom="1.23" header="0.5" footer="0.68"/>
  <pageSetup firstPageNumber="47" useFirstPageNumber="1" horizontalDpi="600" verticalDpi="600" orientation="landscape" paperSize="8" scale="57" r:id="rId1"/>
  <headerFooter alignWithMargins="0">
    <oddFooter>&amp;R&amp;P</oddFooter>
  </headerFooter>
</worksheet>
</file>

<file path=xl/worksheets/sheet22.xml><?xml version="1.0" encoding="utf-8"?>
<worksheet xmlns="http://schemas.openxmlformats.org/spreadsheetml/2006/main" xmlns:r="http://schemas.openxmlformats.org/officeDocument/2006/relationships">
  <dimension ref="A1:O35"/>
  <sheetViews>
    <sheetView zoomScale="90" zoomScaleNormal="90" zoomScalePageLayoutView="0" workbookViewId="0" topLeftCell="E15">
      <selection activeCell="A8" sqref="A8"/>
    </sheetView>
  </sheetViews>
  <sheetFormatPr defaultColWidth="9.00390625" defaultRowHeight="15.75"/>
  <cols>
    <col min="1" max="2" width="4.625" style="663" customWidth="1"/>
    <col min="3" max="3" width="15.625" style="663" customWidth="1"/>
    <col min="4" max="4" width="29.625" style="663" customWidth="1"/>
    <col min="5" max="5" width="30.50390625" style="953" customWidth="1"/>
    <col min="6" max="6" width="14.25390625" style="663" customWidth="1"/>
    <col min="7" max="7" width="14.875" style="663" customWidth="1"/>
    <col min="8" max="8" width="14.125" style="663" customWidth="1"/>
    <col min="9" max="9" width="14.75390625" style="663" customWidth="1"/>
    <col min="10" max="10" width="14.00390625" style="663" customWidth="1"/>
    <col min="11" max="11" width="13.125" style="663" bestFit="1" customWidth="1"/>
    <col min="12" max="12" width="14.50390625" style="663" bestFit="1" customWidth="1"/>
    <col min="13" max="13" width="0.74609375" style="663" customWidth="1"/>
    <col min="14" max="14" width="11.75390625" style="663" bestFit="1" customWidth="1"/>
    <col min="15" max="15" width="12.25390625" style="663" bestFit="1" customWidth="1"/>
    <col min="16" max="16384" width="9.00390625" style="663" customWidth="1"/>
  </cols>
  <sheetData>
    <row r="1" spans="1:2" ht="15.75">
      <c r="A1" s="664" t="str">
        <f>ExpAnaly1!A1</f>
        <v>THE UNITED REPUBLIC OF TANZANIA</v>
      </c>
      <c r="B1" s="664"/>
    </row>
    <row r="2" spans="1:2" ht="15.75">
      <c r="A2" s="664" t="str">
        <f>ExpAnaly1!A2</f>
        <v>PRIME MINISTER’S OFFICE - REGIONAL ADMINISTRATION AND LOCAL GOVERNMENT</v>
      </c>
      <c r="B2" s="664"/>
    </row>
    <row r="3" spans="1:2" ht="15.75">
      <c r="A3" s="664" t="str">
        <f>ExpAnaly1!A3</f>
        <v>BABATI DISTRICT COUNCIL</v>
      </c>
      <c r="B3" s="664"/>
    </row>
    <row r="4" spans="1:2" ht="15.75">
      <c r="A4" s="664"/>
      <c r="B4" s="664"/>
    </row>
    <row r="5" spans="1:2" ht="15.75">
      <c r="A5" s="664" t="str">
        <f>ExpAnaly1!A5</f>
        <v>NOTES TO THE FINANCIAL STATEMENTS (Continued)</v>
      </c>
      <c r="B5" s="664"/>
    </row>
    <row r="6" spans="1:2" ht="15.75">
      <c r="A6" s="664" t="str">
        <f>ExpAnaly1!A6</f>
        <v>FOR THE YEAR ENDED 30 JUNE 2016</v>
      </c>
      <c r="B6" s="664"/>
    </row>
    <row r="8" spans="1:2" ht="15.75">
      <c r="A8" s="662">
        <f>'Info Analy'!A8+1</f>
        <v>39</v>
      </c>
      <c r="B8" s="664" t="s">
        <v>5</v>
      </c>
    </row>
    <row r="10" spans="2:12" s="734" customFormat="1" ht="47.25">
      <c r="B10" s="735" t="s">
        <v>379</v>
      </c>
      <c r="C10" s="735" t="s">
        <v>696</v>
      </c>
      <c r="D10" s="735" t="s">
        <v>6</v>
      </c>
      <c r="E10" s="954" t="s">
        <v>695</v>
      </c>
      <c r="F10" s="736" t="s">
        <v>2058</v>
      </c>
      <c r="G10" s="736" t="s">
        <v>2059</v>
      </c>
      <c r="H10" s="736" t="s">
        <v>2060</v>
      </c>
      <c r="I10" s="736" t="s">
        <v>2061</v>
      </c>
      <c r="J10" s="736" t="s">
        <v>2062</v>
      </c>
      <c r="K10" s="736" t="s">
        <v>697</v>
      </c>
      <c r="L10" s="736" t="s">
        <v>2063</v>
      </c>
    </row>
    <row r="11" spans="2:12" ht="24.75" customHeight="1">
      <c r="B11" s="1031">
        <v>1</v>
      </c>
      <c r="C11" s="1037" t="s">
        <v>371</v>
      </c>
      <c r="D11" s="1043" t="s">
        <v>2441</v>
      </c>
      <c r="E11" s="1039" t="s">
        <v>2384</v>
      </c>
      <c r="F11" s="1033">
        <v>105192</v>
      </c>
      <c r="G11" s="1041">
        <v>0</v>
      </c>
      <c r="H11" s="1033">
        <f>(139691532-34500000)/1000</f>
        <v>105191.532</v>
      </c>
      <c r="I11" s="1033">
        <f>G11+H11</f>
        <v>105191.532</v>
      </c>
      <c r="J11" s="1035">
        <v>105192</v>
      </c>
      <c r="K11" s="1033">
        <f>J11/I11*100</f>
        <v>100.00044490273228</v>
      </c>
      <c r="L11" s="1033">
        <v>0</v>
      </c>
    </row>
    <row r="12" spans="2:12" ht="89.25" customHeight="1">
      <c r="B12" s="1032"/>
      <c r="C12" s="1038"/>
      <c r="D12" s="1044"/>
      <c r="E12" s="1040"/>
      <c r="F12" s="1034"/>
      <c r="G12" s="1042"/>
      <c r="H12" s="1034"/>
      <c r="I12" s="1034"/>
      <c r="J12" s="1036"/>
      <c r="K12" s="1034"/>
      <c r="L12" s="1034"/>
    </row>
    <row r="13" spans="2:12" ht="24.75" customHeight="1">
      <c r="B13" s="1031">
        <v>2</v>
      </c>
      <c r="C13" s="1037" t="s">
        <v>371</v>
      </c>
      <c r="D13" s="1045" t="s">
        <v>2442</v>
      </c>
      <c r="E13" s="1039" t="s">
        <v>2384</v>
      </c>
      <c r="F13" s="1033">
        <v>34500</v>
      </c>
      <c r="G13" s="1041">
        <v>0</v>
      </c>
      <c r="H13" s="1033">
        <v>34500</v>
      </c>
      <c r="I13" s="1033">
        <v>34500</v>
      </c>
      <c r="J13" s="1035">
        <v>34500</v>
      </c>
      <c r="K13" s="1033">
        <f>J13/I13*100</f>
        <v>100</v>
      </c>
      <c r="L13" s="1033">
        <v>0</v>
      </c>
    </row>
    <row r="14" spans="2:12" ht="29.25" customHeight="1">
      <c r="B14" s="1032"/>
      <c r="C14" s="1038"/>
      <c r="D14" s="1046"/>
      <c r="E14" s="1040"/>
      <c r="F14" s="1034"/>
      <c r="G14" s="1042"/>
      <c r="H14" s="1034"/>
      <c r="I14" s="1034"/>
      <c r="J14" s="1036"/>
      <c r="K14" s="1034"/>
      <c r="L14" s="1034"/>
    </row>
    <row r="15" spans="2:12" ht="24.75" customHeight="1">
      <c r="B15" s="1031">
        <v>3</v>
      </c>
      <c r="C15" s="1037"/>
      <c r="D15" s="1043" t="s">
        <v>2444</v>
      </c>
      <c r="E15" s="1039" t="s">
        <v>2265</v>
      </c>
      <c r="F15" s="1033">
        <v>59813</v>
      </c>
      <c r="G15" s="1041">
        <v>0</v>
      </c>
      <c r="H15" s="1033">
        <f>(59812500)/1000</f>
        <v>59812.5</v>
      </c>
      <c r="I15" s="1033">
        <f>G15+H15</f>
        <v>59812.5</v>
      </c>
      <c r="J15" s="1035">
        <f>(59812500)/1000</f>
        <v>59812.5</v>
      </c>
      <c r="K15" s="1033">
        <f>J15/I15*100</f>
        <v>100</v>
      </c>
      <c r="L15" s="1033">
        <v>0</v>
      </c>
    </row>
    <row r="16" spans="2:12" ht="46.5" customHeight="1">
      <c r="B16" s="1032"/>
      <c r="C16" s="1038"/>
      <c r="D16" s="1044"/>
      <c r="E16" s="1040"/>
      <c r="F16" s="1034"/>
      <c r="G16" s="1042"/>
      <c r="H16" s="1034"/>
      <c r="I16" s="1034"/>
      <c r="J16" s="1036"/>
      <c r="K16" s="1034"/>
      <c r="L16" s="1034"/>
    </row>
    <row r="17" spans="2:12" ht="24.75" customHeight="1">
      <c r="B17" s="737">
        <v>4</v>
      </c>
      <c r="C17" s="738" t="s">
        <v>371</v>
      </c>
      <c r="D17" s="944" t="s">
        <v>2082</v>
      </c>
      <c r="E17" s="955" t="s">
        <v>2265</v>
      </c>
      <c r="F17" s="945">
        <v>49750</v>
      </c>
      <c r="G17" s="946">
        <v>0</v>
      </c>
      <c r="H17" s="945"/>
      <c r="I17" s="945">
        <f aca="true" t="shared" si="0" ref="I17:I24">G17+H17</f>
        <v>0</v>
      </c>
      <c r="J17" s="948">
        <v>0</v>
      </c>
      <c r="K17" s="947">
        <v>0</v>
      </c>
      <c r="L17" s="945">
        <f>I17-J17</f>
        <v>0</v>
      </c>
    </row>
    <row r="18" spans="2:12" ht="24.75" customHeight="1">
      <c r="B18" s="737">
        <v>5</v>
      </c>
      <c r="C18" s="738" t="s">
        <v>371</v>
      </c>
      <c r="D18" s="944" t="s">
        <v>941</v>
      </c>
      <c r="E18" s="955" t="s">
        <v>2272</v>
      </c>
      <c r="F18" s="945">
        <v>72145</v>
      </c>
      <c r="G18" s="946">
        <v>0</v>
      </c>
      <c r="H18" s="945"/>
      <c r="I18" s="945">
        <f t="shared" si="0"/>
        <v>0</v>
      </c>
      <c r="J18" s="945">
        <v>0</v>
      </c>
      <c r="K18" s="947">
        <v>0</v>
      </c>
      <c r="L18" s="949">
        <f>I18-J18</f>
        <v>0</v>
      </c>
    </row>
    <row r="19" spans="2:12" ht="24.75" customHeight="1">
      <c r="B19" s="737">
        <v>6</v>
      </c>
      <c r="C19" s="738" t="s">
        <v>371</v>
      </c>
      <c r="D19" s="944" t="s">
        <v>8</v>
      </c>
      <c r="E19" s="955" t="s">
        <v>2280</v>
      </c>
      <c r="F19" s="945">
        <v>105248</v>
      </c>
      <c r="G19" s="945">
        <v>0</v>
      </c>
      <c r="H19" s="945"/>
      <c r="I19" s="945">
        <f t="shared" si="0"/>
        <v>0</v>
      </c>
      <c r="J19" s="945">
        <v>0</v>
      </c>
      <c r="K19" s="947">
        <v>0</v>
      </c>
      <c r="L19" s="945">
        <v>0</v>
      </c>
    </row>
    <row r="20" spans="2:12" ht="24.75" customHeight="1">
      <c r="B20" s="1031">
        <v>7</v>
      </c>
      <c r="C20" s="1037" t="s">
        <v>371</v>
      </c>
      <c r="D20" s="1043" t="s">
        <v>2439</v>
      </c>
      <c r="E20" s="1039" t="s">
        <v>2392</v>
      </c>
      <c r="F20" s="1033">
        <v>148000</v>
      </c>
      <c r="G20" s="1033">
        <v>575692.1577000001</v>
      </c>
      <c r="H20" s="1033">
        <f>(644503262.96-24678099.81-409083000)/1000</f>
        <v>210742.1631500001</v>
      </c>
      <c r="I20" s="1033">
        <f t="shared" si="0"/>
        <v>786434.3208500003</v>
      </c>
      <c r="J20" s="1033">
        <f>786434</f>
        <v>786434</v>
      </c>
      <c r="K20" s="1033">
        <v>0</v>
      </c>
      <c r="L20" s="1033">
        <v>0</v>
      </c>
    </row>
    <row r="21" spans="2:12" ht="31.5" customHeight="1">
      <c r="B21" s="1032"/>
      <c r="C21" s="1038"/>
      <c r="D21" s="1044"/>
      <c r="E21" s="1040"/>
      <c r="F21" s="1034"/>
      <c r="G21" s="1034"/>
      <c r="H21" s="1034"/>
      <c r="I21" s="1034"/>
      <c r="J21" s="1034"/>
      <c r="K21" s="1034"/>
      <c r="L21" s="1034"/>
    </row>
    <row r="22" spans="2:12" ht="24.75" customHeight="1">
      <c r="B22" s="1031">
        <v>8</v>
      </c>
      <c r="C22" s="1037" t="s">
        <v>371</v>
      </c>
      <c r="D22" s="1043" t="s">
        <v>2440</v>
      </c>
      <c r="E22" s="1039" t="s">
        <v>2392</v>
      </c>
      <c r="F22" s="1033">
        <v>409083</v>
      </c>
      <c r="G22" s="1033">
        <v>0</v>
      </c>
      <c r="H22" s="1033">
        <v>409083</v>
      </c>
      <c r="I22" s="1033">
        <f t="shared" si="0"/>
        <v>409083</v>
      </c>
      <c r="J22" s="1033">
        <f>409082.9991</f>
        <v>409082.9991</v>
      </c>
      <c r="K22" s="1033"/>
      <c r="L22" s="1033"/>
    </row>
    <row r="23" spans="2:12" ht="68.25" customHeight="1">
      <c r="B23" s="1032"/>
      <c r="C23" s="1038"/>
      <c r="D23" s="1044"/>
      <c r="E23" s="1040"/>
      <c r="F23" s="1034"/>
      <c r="G23" s="1034"/>
      <c r="H23" s="1034"/>
      <c r="I23" s="1034"/>
      <c r="J23" s="1034"/>
      <c r="K23" s="1034"/>
      <c r="L23" s="1034"/>
    </row>
    <row r="24" spans="2:14" ht="24.75" customHeight="1">
      <c r="B24" s="1031">
        <v>9</v>
      </c>
      <c r="C24" s="1037" t="s">
        <v>371</v>
      </c>
      <c r="D24" s="1043" t="s">
        <v>2443</v>
      </c>
      <c r="E24" s="1039" t="s">
        <v>2265</v>
      </c>
      <c r="F24" s="1033">
        <v>2145005</v>
      </c>
      <c r="G24" s="1033">
        <v>0</v>
      </c>
      <c r="H24" s="1033">
        <f>(581347023-59812500)/1000</f>
        <v>521534.523</v>
      </c>
      <c r="I24" s="1033">
        <f t="shared" si="0"/>
        <v>521534.523</v>
      </c>
      <c r="J24" s="1033">
        <f>(379905911.78-84683982.21)/1000</f>
        <v>295221.92957</v>
      </c>
      <c r="K24" s="1033">
        <f>J24/I24*100</f>
        <v>56.60640217483742</v>
      </c>
      <c r="L24" s="1033">
        <f>I24-J24</f>
        <v>226312.59343</v>
      </c>
      <c r="N24" s="813"/>
    </row>
    <row r="25" spans="2:14" ht="32.25" customHeight="1">
      <c r="B25" s="1032"/>
      <c r="C25" s="1038"/>
      <c r="D25" s="1044"/>
      <c r="E25" s="1040"/>
      <c r="F25" s="1034"/>
      <c r="G25" s="1034"/>
      <c r="H25" s="1034"/>
      <c r="I25" s="1034"/>
      <c r="J25" s="1034"/>
      <c r="K25" s="1034"/>
      <c r="L25" s="1034"/>
      <c r="N25" s="813"/>
    </row>
    <row r="26" spans="2:15" s="664" customFormat="1" ht="24.75" customHeight="1">
      <c r="B26" s="739"/>
      <c r="C26" s="739" t="s">
        <v>943</v>
      </c>
      <c r="D26" s="950"/>
      <c r="E26" s="956"/>
      <c r="F26" s="951">
        <f>SUM(F11:F25)</f>
        <v>3128736</v>
      </c>
      <c r="G26" s="951">
        <f>SUM(G11:G24)</f>
        <v>575692.1577000001</v>
      </c>
      <c r="H26" s="951">
        <f>'Consolidated Trial Balance 2016'!E58/1000</f>
        <v>1340863.71815</v>
      </c>
      <c r="I26" s="951">
        <f>SUM(I11:I24)</f>
        <v>1916555.8758500004</v>
      </c>
      <c r="J26" s="951">
        <f>SUM(J11:J24)</f>
        <v>1690243.42867</v>
      </c>
      <c r="K26" s="952">
        <f>J26/I26*100</f>
        <v>88.19171149499464</v>
      </c>
      <c r="L26" s="951">
        <f>SUM(L11:L24)</f>
        <v>226312.59343</v>
      </c>
      <c r="N26" s="814"/>
      <c r="O26" s="814"/>
    </row>
    <row r="27" spans="10:14" ht="15.75">
      <c r="J27" s="670"/>
      <c r="L27" s="670"/>
      <c r="N27" s="675"/>
    </row>
    <row r="28" spans="6:14" ht="15.75">
      <c r="F28" s="675"/>
      <c r="G28" s="675"/>
      <c r="H28" s="675"/>
      <c r="I28" s="675"/>
      <c r="J28" s="723"/>
      <c r="L28" s="672"/>
      <c r="N28" s="676"/>
    </row>
    <row r="29" spans="3:11" ht="15.75">
      <c r="C29" s="664"/>
      <c r="F29" s="740"/>
      <c r="G29" s="679"/>
      <c r="H29" s="699"/>
      <c r="I29" s="699"/>
      <c r="J29" s="671"/>
      <c r="K29" s="676"/>
    </row>
    <row r="30" spans="3:12" ht="15.75">
      <c r="C30" s="664"/>
      <c r="F30" s="672"/>
      <c r="G30" s="781"/>
      <c r="H30" s="679"/>
      <c r="I30" s="699"/>
      <c r="J30" s="679"/>
      <c r="K30" s="676"/>
      <c r="L30" s="672"/>
    </row>
    <row r="31" spans="8:12" ht="15.75">
      <c r="H31" s="672"/>
      <c r="I31" s="675"/>
      <c r="J31" s="675"/>
      <c r="L31" s="676"/>
    </row>
    <row r="32" spans="4:12" ht="18">
      <c r="D32" s="753"/>
      <c r="E32" s="957"/>
      <c r="F32" s="753"/>
      <c r="I32" s="676"/>
      <c r="J32" s="725"/>
      <c r="K32" s="705"/>
      <c r="L32" s="699"/>
    </row>
    <row r="33" spans="4:12" ht="18">
      <c r="D33" s="753"/>
      <c r="E33" s="957"/>
      <c r="F33" s="753"/>
      <c r="I33" s="676"/>
      <c r="J33" s="673"/>
      <c r="K33" s="673"/>
      <c r="L33" s="699"/>
    </row>
    <row r="34" ht="15.75">
      <c r="I34" s="675"/>
    </row>
    <row r="35" ht="15.75">
      <c r="G35" s="672"/>
    </row>
  </sheetData>
  <sheetProtection/>
  <mergeCells count="66">
    <mergeCell ref="C22:C23"/>
    <mergeCell ref="E20:E21"/>
    <mergeCell ref="E22:E23"/>
    <mergeCell ref="F20:F21"/>
    <mergeCell ref="I22:I23"/>
    <mergeCell ref="H22:H23"/>
    <mergeCell ref="G22:G23"/>
    <mergeCell ref="F22:F23"/>
    <mergeCell ref="D22:D23"/>
    <mergeCell ref="D20:D21"/>
    <mergeCell ref="D11:D12"/>
    <mergeCell ref="D13:D14"/>
    <mergeCell ref="C11:C12"/>
    <mergeCell ref="C13:C14"/>
    <mergeCell ref="E11:E12"/>
    <mergeCell ref="E13:E14"/>
    <mergeCell ref="C20:C21"/>
    <mergeCell ref="F13:F14"/>
    <mergeCell ref="G13:G14"/>
    <mergeCell ref="H13:H14"/>
    <mergeCell ref="D24:D25"/>
    <mergeCell ref="C24:C25"/>
    <mergeCell ref="E24:E25"/>
    <mergeCell ref="F24:F25"/>
    <mergeCell ref="G24:G25"/>
    <mergeCell ref="H24:H25"/>
    <mergeCell ref="H20:H21"/>
    <mergeCell ref="I24:I25"/>
    <mergeCell ref="J24:J25"/>
    <mergeCell ref="K24:K25"/>
    <mergeCell ref="L24:L25"/>
    <mergeCell ref="D15:D16"/>
    <mergeCell ref="C15:C16"/>
    <mergeCell ref="F15:F16"/>
    <mergeCell ref="E15:E16"/>
    <mergeCell ref="I20:I21"/>
    <mergeCell ref="G20:G21"/>
    <mergeCell ref="F11:F12"/>
    <mergeCell ref="G11:G12"/>
    <mergeCell ref="H11:H12"/>
    <mergeCell ref="I11:I12"/>
    <mergeCell ref="G15:G16"/>
    <mergeCell ref="J11:J12"/>
    <mergeCell ref="K11:K12"/>
    <mergeCell ref="L11:L12"/>
    <mergeCell ref="H15:H16"/>
    <mergeCell ref="I15:I16"/>
    <mergeCell ref="J15:J16"/>
    <mergeCell ref="K15:K16"/>
    <mergeCell ref="L15:L16"/>
    <mergeCell ref="I13:I14"/>
    <mergeCell ref="J13:J14"/>
    <mergeCell ref="K13:K14"/>
    <mergeCell ref="L13:L14"/>
    <mergeCell ref="J20:J21"/>
    <mergeCell ref="J22:J23"/>
    <mergeCell ref="K20:K21"/>
    <mergeCell ref="L20:L21"/>
    <mergeCell ref="K22:K23"/>
    <mergeCell ref="L22:L23"/>
    <mergeCell ref="B22:B23"/>
    <mergeCell ref="B24:B25"/>
    <mergeCell ref="B20:B21"/>
    <mergeCell ref="B13:B14"/>
    <mergeCell ref="B15:B16"/>
    <mergeCell ref="B11:B12"/>
  </mergeCells>
  <printOptions/>
  <pageMargins left="0.45" right="0.41" top="0.47" bottom="1.04" header="0.45" footer="0.42"/>
  <pageSetup firstPageNumber="49" useFirstPageNumber="1" horizontalDpi="600" verticalDpi="600" orientation="landscape" paperSize="8"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dimension ref="A1:J32"/>
  <sheetViews>
    <sheetView zoomScale="90" zoomScaleNormal="90" zoomScalePageLayoutView="0" workbookViewId="0" topLeftCell="A1">
      <selection activeCell="A8" sqref="A8"/>
    </sheetView>
  </sheetViews>
  <sheetFormatPr defaultColWidth="9.00390625" defaultRowHeight="15.75"/>
  <cols>
    <col min="1" max="1" width="4.50390625" style="429" customWidth="1"/>
    <col min="2" max="2" width="3.50390625" style="429" customWidth="1"/>
    <col min="3" max="10" width="16.25390625" style="429" customWidth="1"/>
    <col min="11" max="11" width="1.25" style="429" customWidth="1"/>
    <col min="12" max="12" width="10.375" style="429" customWidth="1"/>
    <col min="13" max="21" width="9.00390625" style="429" customWidth="1"/>
    <col min="22" max="22" width="7.375" style="429" bestFit="1" customWidth="1"/>
    <col min="23" max="23" width="8.50390625" style="429" bestFit="1" customWidth="1"/>
    <col min="24" max="24" width="8.875" style="429" customWidth="1"/>
    <col min="25" max="25" width="8.50390625" style="429" bestFit="1" customWidth="1"/>
    <col min="26" max="26" width="7.00390625" style="429" bestFit="1" customWidth="1"/>
    <col min="27" max="27" width="8.375" style="429" bestFit="1" customWidth="1"/>
    <col min="28" max="28" width="8.875" style="429" bestFit="1" customWidth="1"/>
    <col min="29" max="29" width="9.00390625" style="429" customWidth="1"/>
    <col min="30" max="30" width="7.25390625" style="429" bestFit="1" customWidth="1"/>
    <col min="31" max="16384" width="9.00390625" style="429" customWidth="1"/>
  </cols>
  <sheetData>
    <row r="1" ht="15.75">
      <c r="A1" s="412" t="str">
        <f>'[2]Notes'!A1</f>
        <v>THE UNITED REPUBLIC OF TANZANIA</v>
      </c>
    </row>
    <row r="2" ht="15.75">
      <c r="A2" s="412" t="str">
        <f>'[2]Notes'!A2</f>
        <v>PRIME MINISTER’S OFFICE - REGIONAL ADMINISTRATION AND LOCAL GOVERNMENT</v>
      </c>
    </row>
    <row r="3" ht="15.75">
      <c r="A3" s="412"/>
    </row>
    <row r="4" ht="15.75">
      <c r="A4" s="412"/>
    </row>
    <row r="5" ht="15.75">
      <c r="A5" s="412" t="str">
        <f>'[2]Notes'!A5</f>
        <v>NOTES TO THE FINANCIAL STATEMENTS (Continued)</v>
      </c>
    </row>
    <row r="6" ht="15.75">
      <c r="A6" s="412" t="s">
        <v>2290</v>
      </c>
    </row>
    <row r="8" spans="1:2" ht="15.75">
      <c r="A8" s="537">
        <f>Segment!A8+1</f>
        <v>38</v>
      </c>
      <c r="B8" s="412" t="s">
        <v>378</v>
      </c>
    </row>
    <row r="9" ht="16.5" thickBot="1"/>
    <row r="10" spans="2:10" s="412" customFormat="1" ht="15.75">
      <c r="B10" s="555" t="s">
        <v>379</v>
      </c>
      <c r="C10" s="553" t="s">
        <v>380</v>
      </c>
      <c r="D10" s="1047" t="s">
        <v>381</v>
      </c>
      <c r="E10" s="1048"/>
      <c r="F10" s="1048"/>
      <c r="G10" s="1048"/>
      <c r="H10" s="1048"/>
      <c r="I10" s="1048"/>
      <c r="J10" s="1048"/>
    </row>
    <row r="11" spans="2:10" s="412" customFormat="1" ht="16.5" thickBot="1">
      <c r="B11" s="559"/>
      <c r="C11" s="560"/>
      <c r="D11" s="561">
        <v>1</v>
      </c>
      <c r="E11" s="562">
        <v>2</v>
      </c>
      <c r="F11" s="562">
        <v>3</v>
      </c>
      <c r="G11" s="562">
        <v>4</v>
      </c>
      <c r="H11" s="562">
        <v>5</v>
      </c>
      <c r="I11" s="562">
        <v>6</v>
      </c>
      <c r="J11" s="562">
        <v>7</v>
      </c>
    </row>
    <row r="12" spans="2:10" ht="15.75">
      <c r="B12" s="750">
        <v>1</v>
      </c>
      <c r="C12" s="556" t="s">
        <v>558</v>
      </c>
      <c r="D12" s="557" t="s">
        <v>558</v>
      </c>
      <c r="E12" s="558" t="s">
        <v>262</v>
      </c>
      <c r="F12" s="558"/>
      <c r="G12" s="558"/>
      <c r="H12" s="558"/>
      <c r="I12" s="558"/>
      <c r="J12" s="558"/>
    </row>
    <row r="13" spans="2:10" ht="15.75">
      <c r="B13" s="751">
        <f>B12+1</f>
        <v>2</v>
      </c>
      <c r="C13" s="554" t="s">
        <v>263</v>
      </c>
      <c r="D13" s="540" t="s">
        <v>264</v>
      </c>
      <c r="E13" s="518" t="s">
        <v>265</v>
      </c>
      <c r="F13" s="518" t="s">
        <v>564</v>
      </c>
      <c r="G13" s="518" t="s">
        <v>266</v>
      </c>
      <c r="H13" s="518" t="s">
        <v>267</v>
      </c>
      <c r="I13" s="518" t="s">
        <v>268</v>
      </c>
      <c r="J13" s="518" t="s">
        <v>269</v>
      </c>
    </row>
    <row r="14" spans="2:10" ht="15.75">
      <c r="B14" s="751">
        <f aca="true" t="shared" si="0" ref="B14:B28">B13+1</f>
        <v>3</v>
      </c>
      <c r="C14" s="554" t="s">
        <v>562</v>
      </c>
      <c r="D14" s="540" t="s">
        <v>562</v>
      </c>
      <c r="E14" s="518" t="s">
        <v>270</v>
      </c>
      <c r="F14" s="518" t="s">
        <v>271</v>
      </c>
      <c r="G14" s="518" t="s">
        <v>272</v>
      </c>
      <c r="H14" s="518" t="s">
        <v>273</v>
      </c>
      <c r="I14" s="518"/>
      <c r="J14" s="518"/>
    </row>
    <row r="15" spans="2:10" ht="15.75">
      <c r="B15" s="751">
        <f t="shared" si="0"/>
        <v>4</v>
      </c>
      <c r="C15" s="554" t="s">
        <v>573</v>
      </c>
      <c r="D15" s="540" t="s">
        <v>573</v>
      </c>
      <c r="E15" s="518" t="s">
        <v>274</v>
      </c>
      <c r="F15" s="518" t="s">
        <v>275</v>
      </c>
      <c r="G15" s="518" t="s">
        <v>276</v>
      </c>
      <c r="H15" s="518"/>
      <c r="I15" s="518"/>
      <c r="J15" s="518"/>
    </row>
    <row r="16" spans="2:10" ht="15.75">
      <c r="B16" s="751">
        <f t="shared" si="0"/>
        <v>5</v>
      </c>
      <c r="C16" s="554" t="s">
        <v>277</v>
      </c>
      <c r="D16" s="540" t="s">
        <v>277</v>
      </c>
      <c r="E16" s="518" t="s">
        <v>278</v>
      </c>
      <c r="F16" s="518" t="s">
        <v>279</v>
      </c>
      <c r="G16" s="518" t="s">
        <v>280</v>
      </c>
      <c r="H16" s="518" t="s">
        <v>281</v>
      </c>
      <c r="I16" s="518" t="s">
        <v>1279</v>
      </c>
      <c r="J16" s="518"/>
    </row>
    <row r="17" spans="2:10" ht="15.75">
      <c r="B17" s="751">
        <f t="shared" si="0"/>
        <v>6</v>
      </c>
      <c r="C17" s="554" t="s">
        <v>566</v>
      </c>
      <c r="D17" s="540" t="s">
        <v>282</v>
      </c>
      <c r="E17" s="518" t="s">
        <v>283</v>
      </c>
      <c r="F17" s="518" t="s">
        <v>284</v>
      </c>
      <c r="G17" s="518" t="s">
        <v>285</v>
      </c>
      <c r="H17" s="518" t="s">
        <v>566</v>
      </c>
      <c r="I17" s="518" t="s">
        <v>286</v>
      </c>
      <c r="J17" s="518"/>
    </row>
    <row r="18" spans="2:10" ht="15.75">
      <c r="B18" s="751">
        <f t="shared" si="0"/>
        <v>7</v>
      </c>
      <c r="C18" s="554" t="s">
        <v>574</v>
      </c>
      <c r="D18" s="540" t="s">
        <v>574</v>
      </c>
      <c r="E18" s="518" t="s">
        <v>287</v>
      </c>
      <c r="F18" s="518" t="s">
        <v>288</v>
      </c>
      <c r="G18" s="518" t="s">
        <v>289</v>
      </c>
      <c r="H18" s="518" t="s">
        <v>290</v>
      </c>
      <c r="I18" s="518"/>
      <c r="J18" s="518"/>
    </row>
    <row r="19" spans="2:10" ht="15.75">
      <c r="B19" s="751">
        <f t="shared" si="0"/>
        <v>8</v>
      </c>
      <c r="C19" s="554" t="s">
        <v>561</v>
      </c>
      <c r="D19" s="540" t="s">
        <v>291</v>
      </c>
      <c r="E19" s="518" t="s">
        <v>292</v>
      </c>
      <c r="F19" s="518" t="s">
        <v>293</v>
      </c>
      <c r="G19" s="518" t="s">
        <v>294</v>
      </c>
      <c r="H19" s="518" t="s">
        <v>295</v>
      </c>
      <c r="I19" s="518" t="s">
        <v>296</v>
      </c>
      <c r="J19" s="518"/>
    </row>
    <row r="20" spans="2:10" ht="15.75">
      <c r="B20" s="751">
        <f t="shared" si="0"/>
        <v>9</v>
      </c>
      <c r="C20" s="554" t="s">
        <v>1714</v>
      </c>
      <c r="D20" s="540" t="s">
        <v>1714</v>
      </c>
      <c r="E20" s="518" t="s">
        <v>297</v>
      </c>
      <c r="F20" s="518" t="s">
        <v>298</v>
      </c>
      <c r="G20" s="518" t="s">
        <v>299</v>
      </c>
      <c r="H20" s="518" t="s">
        <v>1274</v>
      </c>
      <c r="I20" s="518" t="s">
        <v>300</v>
      </c>
      <c r="J20" s="518"/>
    </row>
    <row r="21" spans="2:10" ht="15.75">
      <c r="B21" s="751">
        <f t="shared" si="0"/>
        <v>10</v>
      </c>
      <c r="C21" s="554" t="s">
        <v>301</v>
      </c>
      <c r="D21" s="540" t="s">
        <v>302</v>
      </c>
      <c r="E21" s="518" t="s">
        <v>303</v>
      </c>
      <c r="F21" s="518" t="s">
        <v>304</v>
      </c>
      <c r="G21" s="518" t="s">
        <v>305</v>
      </c>
      <c r="H21" s="518"/>
      <c r="I21" s="518"/>
      <c r="J21" s="518"/>
    </row>
    <row r="22" spans="2:10" ht="15.75">
      <c r="B22" s="751">
        <f t="shared" si="0"/>
        <v>11</v>
      </c>
      <c r="C22" s="554" t="s">
        <v>569</v>
      </c>
      <c r="D22" s="540" t="s">
        <v>306</v>
      </c>
      <c r="E22" s="540" t="s">
        <v>569</v>
      </c>
      <c r="F22" s="518" t="s">
        <v>307</v>
      </c>
      <c r="G22" s="518" t="s">
        <v>308</v>
      </c>
      <c r="H22" s="518" t="s">
        <v>1723</v>
      </c>
      <c r="I22" s="518" t="s">
        <v>309</v>
      </c>
      <c r="J22" s="518"/>
    </row>
    <row r="23" spans="2:10" ht="15.75">
      <c r="B23" s="751">
        <f t="shared" si="0"/>
        <v>12</v>
      </c>
      <c r="C23" s="554" t="s">
        <v>563</v>
      </c>
      <c r="D23" s="540" t="s">
        <v>563</v>
      </c>
      <c r="E23" s="518" t="s">
        <v>310</v>
      </c>
      <c r="F23" s="518" t="s">
        <v>1289</v>
      </c>
      <c r="G23" s="518" t="s">
        <v>311</v>
      </c>
      <c r="H23" s="518" t="s">
        <v>312</v>
      </c>
      <c r="I23" s="518"/>
      <c r="J23" s="518"/>
    </row>
    <row r="24" spans="2:10" ht="15.75">
      <c r="B24" s="751">
        <f t="shared" si="0"/>
        <v>13</v>
      </c>
      <c r="C24" s="554" t="s">
        <v>572</v>
      </c>
      <c r="D24" s="540" t="s">
        <v>313</v>
      </c>
      <c r="E24" s="518" t="s">
        <v>314</v>
      </c>
      <c r="F24" s="518" t="s">
        <v>572</v>
      </c>
      <c r="G24" s="518" t="s">
        <v>315</v>
      </c>
      <c r="H24" s="518" t="s">
        <v>316</v>
      </c>
      <c r="I24" s="518" t="s">
        <v>317</v>
      </c>
      <c r="J24" s="518"/>
    </row>
    <row r="25" spans="2:10" ht="15.75">
      <c r="B25" s="751">
        <f t="shared" si="0"/>
        <v>14</v>
      </c>
      <c r="C25" s="554" t="s">
        <v>567</v>
      </c>
      <c r="D25" s="540" t="s">
        <v>318</v>
      </c>
      <c r="E25" s="518" t="s">
        <v>567</v>
      </c>
      <c r="F25" s="518" t="s">
        <v>319</v>
      </c>
      <c r="G25" s="518" t="s">
        <v>320</v>
      </c>
      <c r="H25" s="518" t="s">
        <v>321</v>
      </c>
      <c r="I25" s="518"/>
      <c r="J25" s="518"/>
    </row>
    <row r="26" spans="2:10" ht="15.75">
      <c r="B26" s="751">
        <f t="shared" si="0"/>
        <v>15</v>
      </c>
      <c r="C26" s="554" t="s">
        <v>570</v>
      </c>
      <c r="D26" s="540" t="s">
        <v>322</v>
      </c>
      <c r="E26" s="518" t="s">
        <v>570</v>
      </c>
      <c r="F26" s="518" t="s">
        <v>323</v>
      </c>
      <c r="G26" s="518" t="s">
        <v>324</v>
      </c>
      <c r="H26" s="518" t="s">
        <v>325</v>
      </c>
      <c r="I26" s="518"/>
      <c r="J26" s="518"/>
    </row>
    <row r="27" spans="2:10" ht="15.75">
      <c r="B27" s="751">
        <f t="shared" si="0"/>
        <v>16</v>
      </c>
      <c r="C27" s="554" t="s">
        <v>571</v>
      </c>
      <c r="D27" s="540" t="s">
        <v>326</v>
      </c>
      <c r="E27" s="518" t="s">
        <v>327</v>
      </c>
      <c r="F27" s="518" t="s">
        <v>328</v>
      </c>
      <c r="G27" s="518" t="s">
        <v>329</v>
      </c>
      <c r="H27" s="518"/>
      <c r="I27" s="518"/>
      <c r="J27" s="518"/>
    </row>
    <row r="28" spans="2:10" ht="15.75">
      <c r="B28" s="751">
        <f t="shared" si="0"/>
        <v>17</v>
      </c>
      <c r="C28" s="554" t="s">
        <v>568</v>
      </c>
      <c r="D28" s="540" t="s">
        <v>568</v>
      </c>
      <c r="E28" s="518" t="s">
        <v>330</v>
      </c>
      <c r="F28" s="518" t="s">
        <v>331</v>
      </c>
      <c r="G28" s="518" t="s">
        <v>332</v>
      </c>
      <c r="H28" s="518" t="s">
        <v>333</v>
      </c>
      <c r="I28" s="518" t="s">
        <v>1720</v>
      </c>
      <c r="J28" s="518" t="s">
        <v>334</v>
      </c>
    </row>
    <row r="29" spans="2:10" ht="15.75">
      <c r="B29" s="751">
        <v>18</v>
      </c>
      <c r="C29" s="554" t="s">
        <v>565</v>
      </c>
      <c r="D29" s="540" t="s">
        <v>565</v>
      </c>
      <c r="E29" s="518" t="s">
        <v>335</v>
      </c>
      <c r="F29" s="518" t="s">
        <v>336</v>
      </c>
      <c r="G29" s="518" t="s">
        <v>337</v>
      </c>
      <c r="H29" s="518" t="s">
        <v>338</v>
      </c>
      <c r="I29" s="518" t="s">
        <v>339</v>
      </c>
      <c r="J29" s="518"/>
    </row>
    <row r="30" spans="2:10" ht="15.75">
      <c r="B30" s="752">
        <v>19</v>
      </c>
      <c r="C30" s="518" t="s">
        <v>264</v>
      </c>
      <c r="D30" s="518" t="s">
        <v>264</v>
      </c>
      <c r="E30" s="518" t="s">
        <v>2052</v>
      </c>
      <c r="F30" s="518" t="s">
        <v>266</v>
      </c>
      <c r="G30" s="518"/>
      <c r="H30" s="518"/>
      <c r="I30" s="518"/>
      <c r="J30" s="518"/>
    </row>
    <row r="31" spans="2:10" ht="15.75">
      <c r="B31" s="752">
        <v>20</v>
      </c>
      <c r="C31" s="518" t="s">
        <v>1723</v>
      </c>
      <c r="D31" s="518" t="s">
        <v>1723</v>
      </c>
      <c r="E31" s="518" t="s">
        <v>309</v>
      </c>
      <c r="F31" s="518" t="s">
        <v>2053</v>
      </c>
      <c r="G31" s="518" t="s">
        <v>2054</v>
      </c>
      <c r="H31" s="518"/>
      <c r="I31" s="518"/>
      <c r="J31" s="518"/>
    </row>
    <row r="32" spans="2:10" ht="15.75">
      <c r="B32" s="752">
        <v>21</v>
      </c>
      <c r="C32" s="518" t="s">
        <v>280</v>
      </c>
      <c r="D32" s="518" t="s">
        <v>280</v>
      </c>
      <c r="E32" s="518" t="s">
        <v>2055</v>
      </c>
      <c r="F32" s="518" t="s">
        <v>2056</v>
      </c>
      <c r="G32" s="518"/>
      <c r="H32" s="518"/>
      <c r="I32" s="518"/>
      <c r="J32" s="518"/>
    </row>
  </sheetData>
  <sheetProtection/>
  <mergeCells count="1">
    <mergeCell ref="D10:J10"/>
  </mergeCells>
  <printOptions/>
  <pageMargins left="0.75" right="0.75" top="0.54" bottom="0.82" header="0.5" footer="0.37"/>
  <pageSetup firstPageNumber="50" useFirstPageNumber="1" horizontalDpi="600" verticalDpi="600" orientation="landscape" paperSize="8" scale="95" r:id="rId1"/>
  <headerFooter alignWithMargins="0">
    <oddFooter>&amp;R&amp;P</oddFooter>
  </headerFooter>
</worksheet>
</file>

<file path=xl/worksheets/sheet24.xml><?xml version="1.0" encoding="utf-8"?>
<worksheet xmlns="http://schemas.openxmlformats.org/spreadsheetml/2006/main" xmlns:r="http://schemas.openxmlformats.org/officeDocument/2006/relationships">
  <dimension ref="A1:T56"/>
  <sheetViews>
    <sheetView zoomScale="85" zoomScaleNormal="85" zoomScalePageLayoutView="0" workbookViewId="0" topLeftCell="A1">
      <selection activeCell="N16" sqref="N16"/>
    </sheetView>
  </sheetViews>
  <sheetFormatPr defaultColWidth="9.00390625" defaultRowHeight="15.75"/>
  <cols>
    <col min="1" max="1" width="4.00390625" style="1" customWidth="1"/>
    <col min="2" max="2" width="31.875" style="1" customWidth="1"/>
    <col min="3" max="3" width="1.00390625" style="1" customWidth="1"/>
    <col min="4" max="4" width="10.875" style="1" bestFit="1" customWidth="1"/>
    <col min="5" max="5" width="1.00390625" style="3" customWidth="1"/>
    <col min="6" max="6" width="10.875" style="1" bestFit="1" customWidth="1"/>
    <col min="7" max="7" width="1.00390625" style="3" customWidth="1"/>
    <col min="8" max="8" width="11.00390625" style="1" bestFit="1" customWidth="1"/>
    <col min="9" max="9" width="1.00390625" style="3" customWidth="1"/>
    <col min="10" max="10" width="10.875" style="1" bestFit="1" customWidth="1"/>
    <col min="11" max="11" width="1.00390625" style="3" customWidth="1"/>
    <col min="12" max="12" width="10.50390625" style="1" bestFit="1" customWidth="1"/>
    <col min="13" max="13" width="1.00390625" style="3" customWidth="1"/>
    <col min="14" max="14" width="10.50390625" style="2" customWidth="1"/>
    <col min="15" max="16384" width="9.00390625" style="1" customWidth="1"/>
  </cols>
  <sheetData>
    <row r="1" ht="15.75">
      <c r="A1" s="2" t="str">
        <f>Notes!A1</f>
        <v>THE UNITED REPUBLIC OF TANZANIA</v>
      </c>
    </row>
    <row r="2" ht="15.75">
      <c r="A2" s="2"/>
    </row>
    <row r="3" ht="15.75">
      <c r="A3" s="2" t="str">
        <f>Notes!A5</f>
        <v>NOTES TO THE FINANCIAL STATEMENTS (Continued)</v>
      </c>
    </row>
    <row r="4" ht="15.75">
      <c r="A4" s="2" t="str">
        <f>Notes!A6</f>
        <v>FOR THE YEAR ENDED 30 JUNE 2016</v>
      </c>
    </row>
    <row r="5" ht="15.75">
      <c r="B5" s="2"/>
    </row>
    <row r="6" spans="1:5" ht="15.75">
      <c r="A6" s="380">
        <v>41</v>
      </c>
      <c r="B6" s="2" t="s">
        <v>407</v>
      </c>
      <c r="C6" s="381"/>
      <c r="E6" s="382"/>
    </row>
    <row r="7" ht="9" customHeight="1">
      <c r="B7" s="2"/>
    </row>
    <row r="8" spans="2:14" ht="68.25" customHeight="1">
      <c r="B8" s="1051" t="s">
        <v>1187</v>
      </c>
      <c r="C8" s="1051"/>
      <c r="D8" s="1051"/>
      <c r="E8" s="1051"/>
      <c r="F8" s="1051"/>
      <c r="G8" s="1051"/>
      <c r="H8" s="1051"/>
      <c r="I8" s="1051"/>
      <c r="J8" s="1051"/>
      <c r="K8" s="1051"/>
      <c r="L8" s="1051"/>
      <c r="M8" s="1051"/>
      <c r="N8" s="1051"/>
    </row>
    <row r="9" spans="2:20" ht="9.75" customHeight="1">
      <c r="B9" s="383"/>
      <c r="C9" s="383"/>
      <c r="D9" s="383"/>
      <c r="E9" s="383"/>
      <c r="F9" s="383"/>
      <c r="G9" s="383"/>
      <c r="H9" s="383"/>
      <c r="I9" s="383"/>
      <c r="J9" s="383"/>
      <c r="K9" s="383"/>
      <c r="L9" s="383"/>
      <c r="M9" s="383"/>
      <c r="N9" s="384"/>
      <c r="T9" s="375"/>
    </row>
    <row r="10" spans="2:14" ht="31.5">
      <c r="B10" s="1052"/>
      <c r="C10" s="1053"/>
      <c r="D10" s="388" t="s">
        <v>400</v>
      </c>
      <c r="E10" s="1049"/>
      <c r="F10" s="388"/>
      <c r="G10" s="1049"/>
      <c r="H10" s="388"/>
      <c r="I10" s="1049"/>
      <c r="J10" s="388" t="s">
        <v>401</v>
      </c>
      <c r="K10" s="1049"/>
      <c r="L10" s="388" t="s">
        <v>405</v>
      </c>
      <c r="M10" s="1049"/>
      <c r="N10" s="388"/>
    </row>
    <row r="11" spans="2:14" ht="15.75">
      <c r="B11" s="1052"/>
      <c r="C11" s="1053"/>
      <c r="D11" s="389" t="s">
        <v>408</v>
      </c>
      <c r="E11" s="1049"/>
      <c r="F11" s="389" t="s">
        <v>404</v>
      </c>
      <c r="G11" s="1049"/>
      <c r="H11" s="389" t="s">
        <v>403</v>
      </c>
      <c r="I11" s="1049"/>
      <c r="J11" s="389" t="s">
        <v>402</v>
      </c>
      <c r="K11" s="1049"/>
      <c r="L11" s="389" t="s">
        <v>409</v>
      </c>
      <c r="M11" s="1049"/>
      <c r="N11" s="389" t="s">
        <v>943</v>
      </c>
    </row>
    <row r="12" spans="2:14" ht="15.75">
      <c r="B12" s="385"/>
      <c r="C12" s="386"/>
      <c r="D12" s="388" t="s">
        <v>410</v>
      </c>
      <c r="E12" s="387"/>
      <c r="F12" s="388" t="s">
        <v>410</v>
      </c>
      <c r="G12" s="387"/>
      <c r="H12" s="388" t="s">
        <v>410</v>
      </c>
      <c r="I12" s="387"/>
      <c r="J12" s="388" t="s">
        <v>410</v>
      </c>
      <c r="K12" s="387"/>
      <c r="L12" s="388" t="s">
        <v>410</v>
      </c>
      <c r="M12" s="387"/>
      <c r="N12" s="388" t="s">
        <v>410</v>
      </c>
    </row>
    <row r="13" spans="2:14" ht="15.75">
      <c r="B13" s="371" t="s">
        <v>1114</v>
      </c>
      <c r="C13" s="371"/>
      <c r="D13" s="371"/>
      <c r="E13" s="371"/>
      <c r="F13" s="375"/>
      <c r="G13" s="393"/>
      <c r="H13" s="394"/>
      <c r="I13" s="393"/>
      <c r="J13" s="394"/>
      <c r="K13" s="393"/>
      <c r="L13" s="392"/>
      <c r="M13" s="393"/>
      <c r="N13" s="395"/>
    </row>
    <row r="14" spans="2:14" ht="15.75">
      <c r="B14" s="371" t="s">
        <v>1611</v>
      </c>
      <c r="C14" s="370"/>
      <c r="D14" s="370"/>
      <c r="E14" s="370"/>
      <c r="F14" s="370"/>
      <c r="G14" s="397"/>
      <c r="H14" s="396"/>
      <c r="I14" s="397"/>
      <c r="J14" s="396"/>
      <c r="K14" s="397"/>
      <c r="L14" s="396"/>
      <c r="M14" s="393"/>
      <c r="N14" s="395"/>
    </row>
    <row r="15" spans="2:14" ht="15.75">
      <c r="B15" s="370" t="s">
        <v>601</v>
      </c>
      <c r="C15" s="370"/>
      <c r="D15" s="372">
        <v>0</v>
      </c>
      <c r="E15" s="376"/>
      <c r="F15" s="372">
        <v>0</v>
      </c>
      <c r="G15" s="397"/>
      <c r="H15" s="372">
        <v>0</v>
      </c>
      <c r="I15" s="397"/>
      <c r="J15" s="372">
        <v>0</v>
      </c>
      <c r="K15" s="397"/>
      <c r="L15" s="372">
        <v>0</v>
      </c>
      <c r="M15" s="393"/>
      <c r="N15" s="372">
        <f>SUM(D15:L15)</f>
        <v>0</v>
      </c>
    </row>
    <row r="16" spans="2:14" ht="15.75">
      <c r="B16" s="370" t="s">
        <v>505</v>
      </c>
      <c r="C16" s="370"/>
      <c r="D16" s="372">
        <v>0</v>
      </c>
      <c r="E16" s="376"/>
      <c r="F16" s="372">
        <v>0</v>
      </c>
      <c r="G16" s="397"/>
      <c r="H16" s="372">
        <v>0</v>
      </c>
      <c r="I16" s="397"/>
      <c r="J16" s="372">
        <v>0</v>
      </c>
      <c r="K16" s="397"/>
      <c r="L16" s="372">
        <v>0</v>
      </c>
      <c r="M16" s="393"/>
      <c r="N16" s="372">
        <f>SUM(D16:L16)</f>
        <v>0</v>
      </c>
    </row>
    <row r="17" spans="2:14" ht="15.75">
      <c r="B17" s="370" t="s">
        <v>1932</v>
      </c>
      <c r="C17" s="370"/>
      <c r="D17" s="372">
        <v>0</v>
      </c>
      <c r="E17" s="376"/>
      <c r="F17" s="372">
        <v>0</v>
      </c>
      <c r="G17" s="399"/>
      <c r="H17" s="372">
        <v>0</v>
      </c>
      <c r="I17" s="399"/>
      <c r="J17" s="372">
        <v>0</v>
      </c>
      <c r="K17" s="399"/>
      <c r="L17" s="372">
        <v>0</v>
      </c>
      <c r="M17" s="398"/>
      <c r="N17" s="372">
        <f>SUM(D17:L17)</f>
        <v>0</v>
      </c>
    </row>
    <row r="18" spans="2:14" ht="15.75">
      <c r="B18" s="370" t="s">
        <v>1547</v>
      </c>
      <c r="C18" s="370"/>
      <c r="D18" s="372">
        <v>0</v>
      </c>
      <c r="E18" s="376"/>
      <c r="F18" s="372">
        <v>0</v>
      </c>
      <c r="G18" s="400"/>
      <c r="H18" s="372">
        <v>0</v>
      </c>
      <c r="I18" s="400"/>
      <c r="J18" s="372">
        <v>0</v>
      </c>
      <c r="K18" s="400"/>
      <c r="L18" s="372">
        <v>0</v>
      </c>
      <c r="M18" s="393"/>
      <c r="N18" s="372">
        <f>SUM(D18:L18)</f>
        <v>0</v>
      </c>
    </row>
    <row r="19" spans="2:14" ht="15.75">
      <c r="B19" s="371"/>
      <c r="C19" s="370"/>
      <c r="D19" s="373">
        <f>SUM(D15:D18)</f>
        <v>0</v>
      </c>
      <c r="E19" s="376"/>
      <c r="F19" s="373">
        <f>SUM(F15:F18)</f>
        <v>0</v>
      </c>
      <c r="G19" s="393"/>
      <c r="H19" s="373">
        <f>SUM(H15:H18)</f>
        <v>0</v>
      </c>
      <c r="I19" s="393"/>
      <c r="J19" s="373">
        <f>SUM(J15:J18)</f>
        <v>0</v>
      </c>
      <c r="K19" s="393"/>
      <c r="L19" s="373">
        <f>SUM(L15:L18)</f>
        <v>0</v>
      </c>
      <c r="M19" s="393"/>
      <c r="N19" s="373">
        <f>SUM(N15:N18)</f>
        <v>0</v>
      </c>
    </row>
    <row r="20" spans="2:14" ht="15.75">
      <c r="B20" s="371" t="s">
        <v>602</v>
      </c>
      <c r="C20" s="371"/>
      <c r="D20" s="377"/>
      <c r="E20" s="376"/>
      <c r="F20" s="377"/>
      <c r="G20" s="393"/>
      <c r="H20" s="377"/>
      <c r="I20" s="393"/>
      <c r="J20" s="377"/>
      <c r="K20" s="393"/>
      <c r="L20" s="377"/>
      <c r="M20" s="393"/>
      <c r="N20" s="377"/>
    </row>
    <row r="21" spans="2:14" ht="15.75">
      <c r="B21" s="370" t="s">
        <v>1932</v>
      </c>
      <c r="C21" s="371"/>
      <c r="D21" s="372">
        <v>0</v>
      </c>
      <c r="E21" s="376"/>
      <c r="F21" s="372">
        <v>0</v>
      </c>
      <c r="G21" s="401"/>
      <c r="H21" s="372">
        <v>0</v>
      </c>
      <c r="I21" s="401"/>
      <c r="J21" s="372">
        <v>0</v>
      </c>
      <c r="K21" s="397"/>
      <c r="L21" s="372">
        <v>0</v>
      </c>
      <c r="M21" s="393"/>
      <c r="N21" s="372">
        <f>SUM(D21:L21)</f>
        <v>0</v>
      </c>
    </row>
    <row r="22" spans="2:14" ht="15.75">
      <c r="B22" s="370" t="s">
        <v>1967</v>
      </c>
      <c r="C22" s="370"/>
      <c r="D22" s="372">
        <v>0</v>
      </c>
      <c r="E22" s="376"/>
      <c r="F22" s="372">
        <v>0</v>
      </c>
      <c r="G22" s="393"/>
      <c r="H22" s="372">
        <v>0</v>
      </c>
      <c r="I22" s="393"/>
      <c r="J22" s="372">
        <v>0</v>
      </c>
      <c r="K22" s="393"/>
      <c r="L22" s="372">
        <v>0</v>
      </c>
      <c r="M22" s="393"/>
      <c r="N22" s="372">
        <f>SUM(D22:L22)</f>
        <v>0</v>
      </c>
    </row>
    <row r="23" spans="2:14" ht="15.75">
      <c r="B23" s="370" t="s">
        <v>603</v>
      </c>
      <c r="C23" s="370"/>
      <c r="D23" s="372">
        <v>0</v>
      </c>
      <c r="E23" s="376"/>
      <c r="F23" s="372">
        <v>0</v>
      </c>
      <c r="G23" s="393"/>
      <c r="H23" s="372">
        <v>0</v>
      </c>
      <c r="I23" s="393"/>
      <c r="J23" s="372">
        <v>0</v>
      </c>
      <c r="K23" s="393"/>
      <c r="L23" s="372">
        <v>0</v>
      </c>
      <c r="M23" s="393"/>
      <c r="N23" s="372">
        <f>SUM(D23:L23)</f>
        <v>0</v>
      </c>
    </row>
    <row r="24" spans="2:14" ht="15.75">
      <c r="B24" s="370" t="s">
        <v>420</v>
      </c>
      <c r="C24" s="375"/>
      <c r="D24" s="374">
        <v>0</v>
      </c>
      <c r="E24" s="376"/>
      <c r="F24" s="374">
        <v>0</v>
      </c>
      <c r="G24" s="393"/>
      <c r="H24" s="374">
        <v>0</v>
      </c>
      <c r="I24" s="393"/>
      <c r="J24" s="374">
        <v>0</v>
      </c>
      <c r="K24" s="393"/>
      <c r="L24" s="374">
        <v>0</v>
      </c>
      <c r="M24" s="393"/>
      <c r="N24" s="372">
        <f>SUM(D24:L24)</f>
        <v>0</v>
      </c>
    </row>
    <row r="25" spans="2:14" ht="15.75">
      <c r="B25" s="370" t="s">
        <v>1612</v>
      </c>
      <c r="C25" s="370"/>
      <c r="D25" s="372">
        <v>0</v>
      </c>
      <c r="E25" s="376"/>
      <c r="F25" s="372">
        <v>0</v>
      </c>
      <c r="G25" s="393"/>
      <c r="H25" s="372">
        <v>0</v>
      </c>
      <c r="I25" s="393"/>
      <c r="J25" s="372">
        <v>0</v>
      </c>
      <c r="K25" s="393"/>
      <c r="L25" s="372">
        <v>0</v>
      </c>
      <c r="M25" s="393"/>
      <c r="N25" s="372">
        <f>SUM(D25:L25)</f>
        <v>0</v>
      </c>
    </row>
    <row r="26" spans="2:14" ht="15.75">
      <c r="B26" s="371"/>
      <c r="C26" s="370"/>
      <c r="D26" s="373">
        <f>SUM(D21:D25)</f>
        <v>0</v>
      </c>
      <c r="E26" s="376"/>
      <c r="F26" s="373">
        <f>SUM(F21:F25)</f>
        <v>0</v>
      </c>
      <c r="G26" s="393"/>
      <c r="H26" s="373">
        <f>SUM(H21:H25)</f>
        <v>0</v>
      </c>
      <c r="I26" s="393"/>
      <c r="J26" s="373">
        <f>SUM(J21:J25)</f>
        <v>0</v>
      </c>
      <c r="K26" s="393"/>
      <c r="L26" s="373">
        <f>SUM(L21:L25)</f>
        <v>0</v>
      </c>
      <c r="M26" s="393"/>
      <c r="N26" s="373">
        <f>SUM(N21:N25)</f>
        <v>0</v>
      </c>
    </row>
    <row r="27" spans="2:14" ht="11.25" customHeight="1">
      <c r="B27" s="371"/>
      <c r="C27" s="371"/>
      <c r="D27" s="375"/>
      <c r="E27" s="371"/>
      <c r="F27" s="375"/>
      <c r="G27" s="393"/>
      <c r="H27" s="375"/>
      <c r="I27" s="393"/>
      <c r="J27" s="375"/>
      <c r="K27" s="393"/>
      <c r="L27" s="375"/>
      <c r="M27" s="393"/>
      <c r="N27" s="375"/>
    </row>
    <row r="28" spans="2:14" ht="16.5" thickBot="1">
      <c r="B28" s="371" t="s">
        <v>606</v>
      </c>
      <c r="C28" s="371"/>
      <c r="D28" s="378">
        <f>D19+D26</f>
        <v>0</v>
      </c>
      <c r="E28" s="376"/>
      <c r="F28" s="378">
        <f>F19+F26</f>
        <v>0</v>
      </c>
      <c r="G28" s="393"/>
      <c r="H28" s="378">
        <f>H19+H26</f>
        <v>0</v>
      </c>
      <c r="I28" s="393"/>
      <c r="J28" s="378">
        <f>J19+J26</f>
        <v>0</v>
      </c>
      <c r="K28" s="393"/>
      <c r="L28" s="378">
        <f>L19+L26</f>
        <v>0</v>
      </c>
      <c r="M28" s="393"/>
      <c r="N28" s="378">
        <f>N19+N26</f>
        <v>0</v>
      </c>
    </row>
    <row r="29" spans="2:14" ht="12" customHeight="1" thickTop="1">
      <c r="B29" s="370"/>
      <c r="C29" s="370"/>
      <c r="D29" s="372"/>
      <c r="E29" s="376"/>
      <c r="F29" s="372"/>
      <c r="G29" s="393"/>
      <c r="H29" s="372"/>
      <c r="I29" s="393"/>
      <c r="J29" s="372"/>
      <c r="K29" s="393"/>
      <c r="L29" s="372"/>
      <c r="M29" s="393"/>
      <c r="N29" s="372"/>
    </row>
    <row r="30" spans="2:14" ht="15.75">
      <c r="B30" s="371" t="s">
        <v>1203</v>
      </c>
      <c r="C30" s="370"/>
      <c r="D30" s="372"/>
      <c r="E30" s="370"/>
      <c r="F30" s="372"/>
      <c r="G30" s="405"/>
      <c r="H30" s="372"/>
      <c r="I30" s="405"/>
      <c r="J30" s="372"/>
      <c r="K30" s="405"/>
      <c r="L30" s="372"/>
      <c r="M30" s="405"/>
      <c r="N30" s="372"/>
    </row>
    <row r="31" spans="2:14" ht="15.75">
      <c r="B31" s="370" t="s">
        <v>607</v>
      </c>
      <c r="C31" s="370"/>
      <c r="D31" s="372">
        <v>0</v>
      </c>
      <c r="E31" s="376"/>
      <c r="F31" s="372">
        <v>0</v>
      </c>
      <c r="H31" s="372">
        <v>0</v>
      </c>
      <c r="J31" s="372">
        <v>0</v>
      </c>
      <c r="L31" s="372">
        <v>0</v>
      </c>
      <c r="N31" s="372">
        <f>SUM(D31:L31)</f>
        <v>0</v>
      </c>
    </row>
    <row r="32" spans="2:14" ht="15.75">
      <c r="B32" s="370" t="s">
        <v>1596</v>
      </c>
      <c r="C32" s="370"/>
      <c r="D32" s="372">
        <v>0</v>
      </c>
      <c r="E32" s="376"/>
      <c r="F32" s="372">
        <v>0</v>
      </c>
      <c r="G32" s="1050"/>
      <c r="H32" s="372">
        <v>0</v>
      </c>
      <c r="I32" s="1050"/>
      <c r="J32" s="372">
        <v>0</v>
      </c>
      <c r="K32" s="1050"/>
      <c r="L32" s="372">
        <v>0</v>
      </c>
      <c r="M32" s="1050"/>
      <c r="N32" s="372">
        <f>SUM(D32:L32)</f>
        <v>0</v>
      </c>
    </row>
    <row r="33" spans="2:14" ht="15.75">
      <c r="B33" s="370" t="s">
        <v>1205</v>
      </c>
      <c r="C33" s="370"/>
      <c r="D33" s="372">
        <v>0</v>
      </c>
      <c r="E33" s="376"/>
      <c r="F33" s="372">
        <v>0</v>
      </c>
      <c r="G33" s="1050"/>
      <c r="H33" s="372">
        <v>0</v>
      </c>
      <c r="I33" s="1050"/>
      <c r="J33" s="372">
        <v>0</v>
      </c>
      <c r="K33" s="1050"/>
      <c r="L33" s="372">
        <v>0</v>
      </c>
      <c r="M33" s="1050"/>
      <c r="N33" s="372">
        <f>SUM(D33:L33)</f>
        <v>0</v>
      </c>
    </row>
    <row r="34" spans="2:14" ht="15.75">
      <c r="B34" s="371"/>
      <c r="C34" s="371"/>
      <c r="D34" s="373">
        <f>SUM(D31:D33)</f>
        <v>0</v>
      </c>
      <c r="E34" s="376"/>
      <c r="F34" s="373">
        <f>SUM(F31:F33)</f>
        <v>0</v>
      </c>
      <c r="G34" s="388"/>
      <c r="H34" s="373">
        <f>SUM(H31:H33)</f>
        <v>0</v>
      </c>
      <c r="I34" s="388"/>
      <c r="J34" s="373">
        <f>SUM(J31:J33)</f>
        <v>0</v>
      </c>
      <c r="K34" s="388"/>
      <c r="L34" s="373">
        <f>SUM(L31:L33)</f>
        <v>0</v>
      </c>
      <c r="M34" s="388"/>
      <c r="N34" s="373">
        <f>SUM(N29:N33)</f>
        <v>0</v>
      </c>
    </row>
    <row r="35" spans="2:16" ht="15.75">
      <c r="B35" s="371" t="s">
        <v>1204</v>
      </c>
      <c r="C35" s="370"/>
      <c r="D35" s="372"/>
      <c r="E35" s="376"/>
      <c r="F35" s="372"/>
      <c r="G35" s="394"/>
      <c r="H35" s="372"/>
      <c r="I35" s="394"/>
      <c r="J35" s="372"/>
      <c r="K35" s="394"/>
      <c r="L35" s="372"/>
      <c r="M35" s="394"/>
      <c r="N35" s="372"/>
      <c r="O35" s="21"/>
      <c r="P35" s="21"/>
    </row>
    <row r="36" spans="2:16" ht="31.5">
      <c r="B36" s="410" t="s">
        <v>1597</v>
      </c>
      <c r="C36" s="370"/>
      <c r="D36" s="372">
        <v>0</v>
      </c>
      <c r="E36" s="376"/>
      <c r="F36" s="372">
        <v>0</v>
      </c>
      <c r="G36" s="394"/>
      <c r="H36" s="372">
        <v>0</v>
      </c>
      <c r="I36" s="394"/>
      <c r="J36" s="372">
        <v>0</v>
      </c>
      <c r="K36" s="394"/>
      <c r="L36" s="372">
        <v>0</v>
      </c>
      <c r="M36" s="394"/>
      <c r="N36" s="372">
        <f>SUM(D36:L36)</f>
        <v>0</v>
      </c>
      <c r="O36" s="21"/>
      <c r="P36" s="21"/>
    </row>
    <row r="37" spans="2:16" ht="15.75">
      <c r="B37" s="370" t="s">
        <v>1599</v>
      </c>
      <c r="C37" s="375"/>
      <c r="D37" s="374">
        <v>0</v>
      </c>
      <c r="E37" s="376"/>
      <c r="F37" s="374">
        <v>0</v>
      </c>
      <c r="G37" s="393"/>
      <c r="H37" s="374">
        <v>0</v>
      </c>
      <c r="I37" s="393"/>
      <c r="J37" s="374">
        <v>0</v>
      </c>
      <c r="K37" s="393"/>
      <c r="L37" s="374">
        <v>0</v>
      </c>
      <c r="M37" s="393"/>
      <c r="N37" s="372">
        <f>SUM(D37:L37)</f>
        <v>0</v>
      </c>
      <c r="O37" s="21"/>
      <c r="P37" s="21"/>
    </row>
    <row r="38" spans="2:16" ht="15.75">
      <c r="B38" s="370" t="s">
        <v>1027</v>
      </c>
      <c r="C38" s="370"/>
      <c r="D38" s="372">
        <v>0</v>
      </c>
      <c r="E38" s="376"/>
      <c r="F38" s="372">
        <v>0</v>
      </c>
      <c r="G38" s="405"/>
      <c r="H38" s="372">
        <v>0</v>
      </c>
      <c r="I38" s="405"/>
      <c r="J38" s="372">
        <v>0</v>
      </c>
      <c r="K38" s="405"/>
      <c r="L38" s="372">
        <v>0</v>
      </c>
      <c r="M38" s="405"/>
      <c r="N38" s="372">
        <f>SUM(D38:L38)</f>
        <v>0</v>
      </c>
      <c r="O38" s="21"/>
      <c r="P38" s="21"/>
    </row>
    <row r="39" spans="2:16" ht="15.75">
      <c r="B39" s="371"/>
      <c r="C39" s="371"/>
      <c r="D39" s="373">
        <f>SUM(D36:D38)</f>
        <v>0</v>
      </c>
      <c r="E39" s="376"/>
      <c r="F39" s="373">
        <f>SUM(F36:F38)</f>
        <v>0</v>
      </c>
      <c r="G39" s="393"/>
      <c r="H39" s="373">
        <f>SUM(H36:H38)</f>
        <v>0</v>
      </c>
      <c r="I39" s="393"/>
      <c r="J39" s="373">
        <f>SUM(J36:J38)</f>
        <v>0</v>
      </c>
      <c r="K39" s="393"/>
      <c r="L39" s="373">
        <f>SUM(L36:L38)</f>
        <v>0</v>
      </c>
      <c r="M39" s="393"/>
      <c r="N39" s="373">
        <f>SUM(N34:N38)</f>
        <v>0</v>
      </c>
      <c r="O39" s="21"/>
      <c r="P39" s="21"/>
    </row>
    <row r="40" spans="2:16" ht="10.5" customHeight="1">
      <c r="B40" s="371"/>
      <c r="C40" s="371"/>
      <c r="D40" s="377"/>
      <c r="E40" s="376"/>
      <c r="F40" s="377"/>
      <c r="G40" s="393"/>
      <c r="H40" s="377"/>
      <c r="I40" s="393"/>
      <c r="J40" s="377"/>
      <c r="K40" s="393"/>
      <c r="L40" s="377"/>
      <c r="M40" s="393"/>
      <c r="N40" s="377"/>
      <c r="O40" s="21"/>
      <c r="P40" s="21"/>
    </row>
    <row r="41" spans="2:14" ht="16.5" thickBot="1">
      <c r="B41" s="371" t="s">
        <v>406</v>
      </c>
      <c r="C41" s="371"/>
      <c r="D41" s="378">
        <f>D34+D39</f>
        <v>0</v>
      </c>
      <c r="E41" s="376"/>
      <c r="F41" s="378">
        <f>F34+F39</f>
        <v>0</v>
      </c>
      <c r="G41" s="393"/>
      <c r="H41" s="378">
        <f>H34+H39</f>
        <v>0</v>
      </c>
      <c r="I41" s="393"/>
      <c r="J41" s="378">
        <f>J34+J39</f>
        <v>0</v>
      </c>
      <c r="K41" s="393"/>
      <c r="L41" s="378">
        <f>L34+L39</f>
        <v>0</v>
      </c>
      <c r="M41" s="393"/>
      <c r="N41" s="378">
        <f>SUM(D41:M41)</f>
        <v>0</v>
      </c>
    </row>
    <row r="42" spans="2:16" ht="16.5" thickTop="1">
      <c r="B42" s="370"/>
      <c r="C42" s="370"/>
      <c r="D42" s="372"/>
      <c r="E42" s="370"/>
      <c r="F42" s="372"/>
      <c r="G42" s="394"/>
      <c r="H42" s="372"/>
      <c r="I42" s="394"/>
      <c r="J42" s="372"/>
      <c r="K42" s="394"/>
      <c r="L42" s="372"/>
      <c r="M42" s="394"/>
      <c r="N42" s="372"/>
      <c r="O42" s="21"/>
      <c r="P42" s="21"/>
    </row>
    <row r="43" spans="2:14" s="3" customFormat="1" ht="16.5" thickBot="1">
      <c r="B43" s="387" t="s">
        <v>399</v>
      </c>
      <c r="C43" s="405"/>
      <c r="D43" s="402">
        <f>D28-D41</f>
        <v>0</v>
      </c>
      <c r="E43" s="393"/>
      <c r="F43" s="402">
        <f>F28-F41</f>
        <v>0</v>
      </c>
      <c r="G43" s="393"/>
      <c r="H43" s="402">
        <f>H28-H41</f>
        <v>0</v>
      </c>
      <c r="I43" s="393"/>
      <c r="J43" s="402">
        <f>J28-J41</f>
        <v>0</v>
      </c>
      <c r="K43" s="393"/>
      <c r="L43" s="402">
        <f>L28-L41</f>
        <v>0</v>
      </c>
      <c r="M43" s="393"/>
      <c r="N43" s="402">
        <f>N28-N41</f>
        <v>0</v>
      </c>
    </row>
    <row r="44" spans="2:14" ht="16.5" thickTop="1">
      <c r="B44" s="390"/>
      <c r="C44" s="391"/>
      <c r="D44" s="404"/>
      <c r="E44" s="405"/>
      <c r="F44" s="404"/>
      <c r="G44" s="405"/>
      <c r="H44" s="404"/>
      <c r="I44" s="405"/>
      <c r="J44" s="404"/>
      <c r="K44" s="405"/>
      <c r="L44" s="404"/>
      <c r="M44" s="405"/>
      <c r="N44" s="388"/>
    </row>
    <row r="45" ht="7.5" customHeight="1"/>
    <row r="46" spans="2:14" ht="15.75">
      <c r="B46" s="411" t="s">
        <v>2045</v>
      </c>
      <c r="C46" s="391"/>
      <c r="D46" s="388"/>
      <c r="E46" s="387"/>
      <c r="F46" s="388"/>
      <c r="G46" s="387"/>
      <c r="H46" s="388"/>
      <c r="I46" s="387"/>
      <c r="J46" s="388"/>
      <c r="K46" s="387"/>
      <c r="L46" s="388"/>
      <c r="M46" s="388"/>
      <c r="N46" s="386"/>
    </row>
    <row r="47" spans="2:16" ht="15.75">
      <c r="B47" s="406" t="s">
        <v>1173</v>
      </c>
      <c r="C47" s="391"/>
      <c r="D47" s="394">
        <v>0</v>
      </c>
      <c r="E47" s="394"/>
      <c r="F47" s="394">
        <v>0</v>
      </c>
      <c r="G47" s="394"/>
      <c r="H47" s="394">
        <v>0</v>
      </c>
      <c r="I47" s="394"/>
      <c r="J47" s="394">
        <v>0</v>
      </c>
      <c r="K47" s="394"/>
      <c r="L47" s="394">
        <v>0</v>
      </c>
      <c r="M47" s="394"/>
      <c r="N47" s="395">
        <f>SUM(D47:L47)</f>
        <v>0</v>
      </c>
      <c r="O47" s="21"/>
      <c r="P47" s="21"/>
    </row>
    <row r="48" spans="2:16" ht="10.5" customHeight="1">
      <c r="B48" s="406"/>
      <c r="C48" s="391"/>
      <c r="D48" s="394"/>
      <c r="E48" s="394"/>
      <c r="F48" s="394"/>
      <c r="G48" s="394"/>
      <c r="H48" s="394"/>
      <c r="I48" s="394"/>
      <c r="J48" s="394"/>
      <c r="K48" s="394"/>
      <c r="L48" s="394"/>
      <c r="M48" s="394"/>
      <c r="N48" s="395"/>
      <c r="O48" s="21"/>
      <c r="P48" s="21"/>
    </row>
    <row r="49" spans="2:16" ht="15.75">
      <c r="B49" s="406" t="s">
        <v>1174</v>
      </c>
      <c r="C49" s="407"/>
      <c r="D49" s="394">
        <v>0</v>
      </c>
      <c r="E49" s="393"/>
      <c r="F49" s="394">
        <v>0</v>
      </c>
      <c r="G49" s="393"/>
      <c r="H49" s="394">
        <v>0</v>
      </c>
      <c r="I49" s="393"/>
      <c r="J49" s="394">
        <v>0</v>
      </c>
      <c r="K49" s="393"/>
      <c r="L49" s="394">
        <v>0</v>
      </c>
      <c r="M49" s="393"/>
      <c r="N49" s="395">
        <f>SUM(D49:L49)</f>
        <v>0</v>
      </c>
      <c r="O49" s="21"/>
      <c r="P49" s="21"/>
    </row>
    <row r="50" spans="2:16" ht="11.25" customHeight="1">
      <c r="B50" s="406"/>
      <c r="C50" s="407"/>
      <c r="D50" s="408"/>
      <c r="E50" s="405"/>
      <c r="F50" s="408"/>
      <c r="G50" s="405"/>
      <c r="H50" s="408"/>
      <c r="I50" s="405"/>
      <c r="J50" s="408"/>
      <c r="K50" s="405"/>
      <c r="L50" s="408"/>
      <c r="M50" s="405"/>
      <c r="N50" s="409"/>
      <c r="O50" s="21"/>
      <c r="P50" s="21"/>
    </row>
    <row r="51" spans="2:16" ht="16.5" thickBot="1">
      <c r="B51" s="390" t="s">
        <v>399</v>
      </c>
      <c r="C51" s="391"/>
      <c r="D51" s="402">
        <f>D47-D49</f>
        <v>0</v>
      </c>
      <c r="E51" s="393"/>
      <c r="F51" s="402">
        <f>F47-F49</f>
        <v>0</v>
      </c>
      <c r="G51" s="393"/>
      <c r="H51" s="402">
        <f>H47-H49</f>
        <v>0</v>
      </c>
      <c r="I51" s="393"/>
      <c r="J51" s="402">
        <f>J47-J49</f>
        <v>0</v>
      </c>
      <c r="K51" s="393"/>
      <c r="L51" s="402">
        <f>L47-L49</f>
        <v>0</v>
      </c>
      <c r="M51" s="393"/>
      <c r="N51" s="403">
        <f>N47-N49</f>
        <v>0</v>
      </c>
      <c r="O51" s="21"/>
      <c r="P51" s="21"/>
    </row>
    <row r="52" spans="2:16" ht="16.5" thickTop="1">
      <c r="B52" s="390"/>
      <c r="C52" s="391"/>
      <c r="D52" s="394"/>
      <c r="E52" s="394"/>
      <c r="F52" s="394"/>
      <c r="G52" s="394"/>
      <c r="H52" s="394"/>
      <c r="I52" s="394"/>
      <c r="J52" s="394"/>
      <c r="K52" s="394"/>
      <c r="L52" s="394"/>
      <c r="M52" s="394"/>
      <c r="N52" s="395"/>
      <c r="O52" s="21"/>
      <c r="P52" s="21"/>
    </row>
    <row r="53" ht="15.75">
      <c r="N53" s="1"/>
    </row>
    <row r="54" ht="15.75">
      <c r="N54" s="1"/>
    </row>
    <row r="56" ht="15.75">
      <c r="N56" s="1" t="e">
        <f>Notes!#REF!+3</f>
        <v>#REF!</v>
      </c>
    </row>
  </sheetData>
  <sheetProtection/>
  <mergeCells count="12">
    <mergeCell ref="B8:N8"/>
    <mergeCell ref="B10:B11"/>
    <mergeCell ref="C10:C11"/>
    <mergeCell ref="E10:E11"/>
    <mergeCell ref="G10:G11"/>
    <mergeCell ref="I10:I11"/>
    <mergeCell ref="K10:K11"/>
    <mergeCell ref="M10:M11"/>
    <mergeCell ref="I32:I33"/>
    <mergeCell ref="K32:K33"/>
    <mergeCell ref="M32:M33"/>
    <mergeCell ref="G32:G33"/>
  </mergeCells>
  <printOptions/>
  <pageMargins left="0.6" right="0.45" top="0.62" bottom="0.44" header="0.5" footer="0.28"/>
  <pageSetup horizontalDpi="600" verticalDpi="600" orientation="portrait" scale="80" r:id="rId1"/>
</worksheet>
</file>

<file path=xl/worksheets/sheet25.xml><?xml version="1.0" encoding="utf-8"?>
<worksheet xmlns="http://schemas.openxmlformats.org/spreadsheetml/2006/main" xmlns:r="http://schemas.openxmlformats.org/officeDocument/2006/relationships">
  <dimension ref="A2:D21"/>
  <sheetViews>
    <sheetView zoomScalePageLayoutView="0" workbookViewId="0" topLeftCell="A3">
      <selection activeCell="F17" sqref="F17"/>
    </sheetView>
  </sheetViews>
  <sheetFormatPr defaultColWidth="9.00390625" defaultRowHeight="19.5" customHeight="1"/>
  <cols>
    <col min="1" max="1" width="6.125" style="0" bestFit="1" customWidth="1"/>
    <col min="2" max="2" width="48.50390625" style="0" bestFit="1" customWidth="1"/>
    <col min="3" max="4" width="11.125" style="0" bestFit="1" customWidth="1"/>
  </cols>
  <sheetData>
    <row r="2" spans="1:4" ht="19.5" customHeight="1">
      <c r="A2" s="855" t="e">
        <f>#REF!+1</f>
        <v>#REF!</v>
      </c>
      <c r="B2" s="856" t="s">
        <v>2427</v>
      </c>
      <c r="C2" s="857"/>
      <c r="D2" s="857"/>
    </row>
    <row r="3" spans="1:4" ht="19.5" customHeight="1">
      <c r="A3" s="855"/>
      <c r="B3" s="858"/>
      <c r="C3" s="857"/>
      <c r="D3" s="857"/>
    </row>
    <row r="4" spans="1:4" ht="19.5" customHeight="1">
      <c r="A4" s="855"/>
      <c r="B4" s="859" t="s">
        <v>2428</v>
      </c>
      <c r="C4" s="857"/>
      <c r="D4" s="857"/>
    </row>
    <row r="5" spans="1:4" ht="19.5" customHeight="1">
      <c r="A5" s="855"/>
      <c r="B5" s="858" t="s">
        <v>437</v>
      </c>
      <c r="C5" s="860">
        <v>736735</v>
      </c>
      <c r="D5" s="860">
        <v>652986</v>
      </c>
    </row>
    <row r="6" spans="1:4" ht="29.25">
      <c r="A6" s="855"/>
      <c r="B6" s="858" t="s">
        <v>2432</v>
      </c>
      <c r="C6" s="860">
        <f>24118569.64791+275566</f>
        <v>24394135.64791</v>
      </c>
      <c r="D6" s="861">
        <f>21338273+107229+4</f>
        <v>21445506</v>
      </c>
    </row>
    <row r="7" spans="1:4" ht="19.5" customHeight="1">
      <c r="A7" s="855"/>
      <c r="B7" s="858" t="s">
        <v>438</v>
      </c>
      <c r="C7" s="860">
        <v>435938</v>
      </c>
      <c r="D7" s="861">
        <v>409964</v>
      </c>
    </row>
    <row r="8" spans="1:4" ht="19.5" customHeight="1">
      <c r="A8" s="855"/>
      <c r="B8" s="858" t="s">
        <v>439</v>
      </c>
      <c r="C8" s="860">
        <v>29409</v>
      </c>
      <c r="D8" s="861">
        <v>33808</v>
      </c>
    </row>
    <row r="9" spans="1:4" ht="19.5" customHeight="1">
      <c r="A9" s="855"/>
      <c r="B9" s="858" t="s">
        <v>2433</v>
      </c>
      <c r="C9" s="860">
        <v>0</v>
      </c>
      <c r="D9" s="861">
        <v>0</v>
      </c>
    </row>
    <row r="10" spans="1:4" ht="19.5" customHeight="1">
      <c r="A10" s="855"/>
      <c r="B10" s="858" t="s">
        <v>2434</v>
      </c>
      <c r="C10" s="860">
        <v>0</v>
      </c>
      <c r="D10" s="861">
        <v>0</v>
      </c>
    </row>
    <row r="11" spans="1:4" ht="19.5" customHeight="1">
      <c r="A11" s="855"/>
      <c r="B11" s="858" t="s">
        <v>1521</v>
      </c>
      <c r="C11" s="860">
        <v>1029234</v>
      </c>
      <c r="D11" s="861">
        <v>661997</v>
      </c>
    </row>
    <row r="12" spans="1:4" ht="19.5" customHeight="1">
      <c r="A12" s="855"/>
      <c r="B12" s="858" t="s">
        <v>705</v>
      </c>
      <c r="C12" s="860">
        <v>-21492117.750278</v>
      </c>
      <c r="D12" s="861">
        <v>-18635151.4</v>
      </c>
    </row>
    <row r="13" spans="1:4" ht="19.5" customHeight="1">
      <c r="A13" s="855"/>
      <c r="B13" s="858" t="s">
        <v>2435</v>
      </c>
      <c r="C13" s="860">
        <v>0</v>
      </c>
      <c r="D13" s="861">
        <v>0</v>
      </c>
    </row>
    <row r="14" spans="1:4" ht="19.5" customHeight="1">
      <c r="A14" s="855"/>
      <c r="B14" s="858" t="s">
        <v>436</v>
      </c>
      <c r="C14" s="860">
        <v>-2570335.4</v>
      </c>
      <c r="D14" s="861">
        <v>-2004672.4</v>
      </c>
    </row>
    <row r="15" spans="1:4" ht="19.5" customHeight="1">
      <c r="A15" s="855"/>
      <c r="B15" s="858" t="s">
        <v>120</v>
      </c>
      <c r="C15" s="860">
        <v>-2284809.17916</v>
      </c>
      <c r="D15" s="861">
        <v>-2244143</v>
      </c>
    </row>
    <row r="16" spans="1:4" ht="29.25">
      <c r="A16" s="855"/>
      <c r="B16" s="858" t="s">
        <v>2436</v>
      </c>
      <c r="C16" s="860">
        <v>0</v>
      </c>
      <c r="D16" s="861">
        <v>-226581.4</v>
      </c>
    </row>
    <row r="17" spans="1:4" ht="19.5" customHeight="1">
      <c r="A17" s="855"/>
      <c r="B17" s="858" t="s">
        <v>2437</v>
      </c>
      <c r="C17" s="860">
        <v>0</v>
      </c>
      <c r="D17" s="861">
        <v>0</v>
      </c>
    </row>
    <row r="18" spans="1:4" ht="19.5" customHeight="1">
      <c r="A18" s="855"/>
      <c r="B18" s="858" t="s">
        <v>347</v>
      </c>
      <c r="C18" s="860">
        <v>0</v>
      </c>
      <c r="D18" s="861">
        <v>-4150.4</v>
      </c>
    </row>
    <row r="19" spans="1:4" ht="19.5" customHeight="1">
      <c r="A19" s="855"/>
      <c r="B19" s="858" t="s">
        <v>2429</v>
      </c>
      <c r="C19" s="860">
        <v>0</v>
      </c>
      <c r="D19" s="861">
        <v>0</v>
      </c>
    </row>
    <row r="20" spans="1:4" ht="19.5" customHeight="1">
      <c r="A20" s="855"/>
      <c r="B20" s="858" t="s">
        <v>2430</v>
      </c>
      <c r="C20" s="860">
        <v>0</v>
      </c>
      <c r="D20" s="861">
        <v>0</v>
      </c>
    </row>
    <row r="21" spans="1:4" ht="19.5" customHeight="1" thickBot="1">
      <c r="A21" s="855"/>
      <c r="B21" s="856" t="s">
        <v>2431</v>
      </c>
      <c r="C21" s="862">
        <f>SUM(C5:C20)</f>
        <v>278189.3184719994</v>
      </c>
      <c r="D21" s="862">
        <f>SUM(D5:D20)</f>
        <v>89562.4000000016</v>
      </c>
    </row>
    <row r="22" ht="19.5" customHeight="1" thickTop="1"/>
  </sheetData>
  <sheetProtection/>
  <protectedRanges>
    <protectedRange sqref="C5:D20" name="Range7_1"/>
  </protectedRange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7"/>
  <sheetViews>
    <sheetView zoomScaleSheetLayoutView="90" zoomScalePageLayoutView="0" workbookViewId="0" topLeftCell="A7">
      <selection activeCell="A31" sqref="A31"/>
    </sheetView>
  </sheetViews>
  <sheetFormatPr defaultColWidth="9.00390625" defaultRowHeight="15.75"/>
  <cols>
    <col min="1" max="1" width="54.75390625" style="415" customWidth="1"/>
    <col min="2" max="2" width="5.25390625" style="420" bestFit="1" customWidth="1"/>
    <col min="3" max="3" width="11.75390625" style="415" customWidth="1"/>
    <col min="4" max="4" width="0.5" style="415" customWidth="1"/>
    <col min="5" max="5" width="12.00390625" style="415" customWidth="1"/>
    <col min="6" max="6" width="0.875" style="415" customWidth="1"/>
    <col min="7" max="7" width="12.125" style="415" customWidth="1"/>
    <col min="8" max="8" width="13.875" style="415" bestFit="1" customWidth="1"/>
    <col min="9" max="16384" width="9.00390625" style="415" customWidth="1"/>
  </cols>
  <sheetData>
    <row r="1" spans="1:5" ht="15.75">
      <c r="A1" s="427" t="s">
        <v>1519</v>
      </c>
      <c r="B1" s="419"/>
      <c r="C1" s="413"/>
      <c r="D1" s="413"/>
      <c r="E1" s="413"/>
    </row>
    <row r="2" spans="1:5" ht="15.75">
      <c r="A2" s="427" t="s">
        <v>2462</v>
      </c>
      <c r="B2" s="419"/>
      <c r="C2" s="413"/>
      <c r="D2" s="413"/>
      <c r="E2" s="413"/>
    </row>
    <row r="3" spans="1:5" ht="15.75">
      <c r="A3" s="427" t="s">
        <v>960</v>
      </c>
      <c r="B3" s="419"/>
      <c r="C3" s="413"/>
      <c r="D3" s="413"/>
      <c r="E3" s="413"/>
    </row>
    <row r="4" spans="1:5" ht="15.75">
      <c r="A4" s="413"/>
      <c r="B4" s="419"/>
      <c r="C4" s="413"/>
      <c r="D4" s="413"/>
      <c r="E4" s="413"/>
    </row>
    <row r="5" spans="1:5" ht="15.75">
      <c r="A5" s="413" t="s">
        <v>1565</v>
      </c>
      <c r="C5" s="413"/>
      <c r="D5" s="413"/>
      <c r="E5" s="413"/>
    </row>
    <row r="6" spans="1:5" ht="15.75">
      <c r="A6" s="413" t="s">
        <v>2289</v>
      </c>
      <c r="B6" s="419"/>
      <c r="C6" s="413"/>
      <c r="D6" s="413"/>
      <c r="E6" s="413"/>
    </row>
    <row r="7" spans="1:5" ht="15.75">
      <c r="A7" s="413"/>
      <c r="B7" s="419"/>
      <c r="C7" s="441">
        <v>2016</v>
      </c>
      <c r="D7" s="417"/>
      <c r="E7" s="441">
        <v>2015</v>
      </c>
    </row>
    <row r="8" spans="1:5" ht="15.75">
      <c r="A8" s="413"/>
      <c r="B8" s="442" t="s">
        <v>1110</v>
      </c>
      <c r="C8" s="416" t="s">
        <v>1202</v>
      </c>
      <c r="D8" s="416"/>
      <c r="E8" s="416" t="s">
        <v>1202</v>
      </c>
    </row>
    <row r="9" spans="1:13" ht="15.75">
      <c r="A9" s="465" t="s">
        <v>1084</v>
      </c>
      <c r="B9" s="863"/>
      <c r="C9" s="638"/>
      <c r="D9" s="595"/>
      <c r="E9" s="638"/>
      <c r="F9" s="638"/>
      <c r="H9" s="427"/>
      <c r="K9" s="428"/>
      <c r="L9" s="433"/>
      <c r="M9" s="428"/>
    </row>
    <row r="10" spans="1:13" ht="15.75">
      <c r="A10" s="468" t="s">
        <v>372</v>
      </c>
      <c r="B10" s="863">
        <f>Notes!A9</f>
        <v>17</v>
      </c>
      <c r="C10" s="634">
        <f>'Consolidated Trial Balance 2016'!E12/1000</f>
        <v>574211.52863</v>
      </c>
      <c r="D10" s="785"/>
      <c r="E10" s="634">
        <f>Notes!H15</f>
        <v>736735.3265699999</v>
      </c>
      <c r="F10" s="638"/>
      <c r="G10" s="634"/>
      <c r="H10" s="427"/>
      <c r="K10" s="428"/>
      <c r="L10" s="433"/>
      <c r="M10" s="428"/>
    </row>
    <row r="11" spans="1:13" ht="15.75">
      <c r="A11" s="468" t="s">
        <v>438</v>
      </c>
      <c r="B11" s="863">
        <f>Notes!A19</f>
        <v>18</v>
      </c>
      <c r="C11" s="634">
        <f>'Consolidated Trial Balance 2016'!E33/1000</f>
        <v>484452.3766</v>
      </c>
      <c r="D11" s="785"/>
      <c r="E11" s="634">
        <f>Notes!H26</f>
        <v>435938.382</v>
      </c>
      <c r="F11" s="638"/>
      <c r="G11" s="634"/>
      <c r="H11" s="427"/>
      <c r="K11" s="433"/>
      <c r="L11" s="433"/>
      <c r="M11" s="428"/>
    </row>
    <row r="12" spans="1:13" ht="15.75">
      <c r="A12" s="464" t="s">
        <v>76</v>
      </c>
      <c r="B12" s="863">
        <f>Notes!A30</f>
        <v>19</v>
      </c>
      <c r="C12" s="634">
        <f>Notes!F55</f>
        <v>30614944</v>
      </c>
      <c r="D12" s="785"/>
      <c r="E12" s="634">
        <f>Notes!H55-0.5</f>
        <v>24118569.5</v>
      </c>
      <c r="F12" s="638"/>
      <c r="G12" s="634"/>
      <c r="H12" s="864"/>
      <c r="K12" s="433"/>
      <c r="L12" s="433"/>
      <c r="M12" s="428"/>
    </row>
    <row r="13" spans="1:13" ht="15.75">
      <c r="A13" s="464" t="s">
        <v>439</v>
      </c>
      <c r="B13" s="863">
        <f>Notes!A60</f>
        <v>20</v>
      </c>
      <c r="C13" s="634">
        <f>'Consolidated Trial Balance 2016'!E35/1000</f>
        <v>13825</v>
      </c>
      <c r="D13" s="785"/>
      <c r="E13" s="634">
        <f>Notes!H64</f>
        <v>29408.524</v>
      </c>
      <c r="F13" s="638"/>
      <c r="G13" s="634"/>
      <c r="H13" s="427"/>
      <c r="K13" s="433"/>
      <c r="L13" s="433"/>
      <c r="M13" s="428"/>
    </row>
    <row r="14" spans="1:7" ht="15.75">
      <c r="A14" s="464" t="s">
        <v>1831</v>
      </c>
      <c r="B14" s="863"/>
      <c r="C14" s="634">
        <f>PPE1!Q27</f>
        <v>2406803.881294061</v>
      </c>
      <c r="D14" s="785"/>
      <c r="E14" s="634">
        <f>PPE1!Q56</f>
        <v>1377186.8146759667</v>
      </c>
      <c r="F14" s="638"/>
      <c r="G14" s="634"/>
    </row>
    <row r="15" spans="1:7" ht="15.75">
      <c r="A15" s="468" t="s">
        <v>460</v>
      </c>
      <c r="B15" s="643">
        <f>Notes!A67</f>
        <v>21</v>
      </c>
      <c r="C15" s="634">
        <f>'Consolidated Trial Balance 2016'!E40/1000</f>
        <v>872788.36728</v>
      </c>
      <c r="D15" s="785"/>
      <c r="E15" s="634">
        <f>Notes!H71</f>
        <v>1029233.53721</v>
      </c>
      <c r="F15" s="638"/>
      <c r="G15" s="634"/>
    </row>
    <row r="16" spans="1:7" ht="15.75">
      <c r="A16" s="633"/>
      <c r="B16" s="643"/>
      <c r="C16" s="641">
        <f>SUM(C10:C15)</f>
        <v>34967025.153804064</v>
      </c>
      <c r="D16" s="865"/>
      <c r="E16" s="641">
        <f>SUM(E10:E15)</f>
        <v>27727072.084455967</v>
      </c>
      <c r="F16" s="637"/>
      <c r="G16" s="424"/>
    </row>
    <row r="17" spans="1:7" ht="15.75">
      <c r="A17" s="468"/>
      <c r="B17" s="643"/>
      <c r="C17" s="638"/>
      <c r="D17" s="595"/>
      <c r="E17" s="638"/>
      <c r="F17" s="638"/>
      <c r="G17" s="425"/>
    </row>
    <row r="18" spans="1:7" ht="15.75">
      <c r="A18" s="633" t="s">
        <v>1522</v>
      </c>
      <c r="B18" s="866"/>
      <c r="C18" s="638"/>
      <c r="D18" s="595"/>
      <c r="E18" s="638"/>
      <c r="F18" s="638"/>
      <c r="G18" s="424"/>
    </row>
    <row r="19" spans="1:6" ht="15.75">
      <c r="A19" s="468" t="s">
        <v>705</v>
      </c>
      <c r="B19" s="643">
        <f>Notes!A74</f>
        <v>22</v>
      </c>
      <c r="C19" s="634">
        <f>'Consolidated Trial Balance 2016'!D72/1000</f>
        <v>25097615.36925</v>
      </c>
      <c r="D19" s="785"/>
      <c r="E19" s="634">
        <f>Notes!H79</f>
        <v>21492118</v>
      </c>
      <c r="F19" s="638"/>
    </row>
    <row r="20" spans="1:6" ht="15.75">
      <c r="A20" s="468" t="s">
        <v>436</v>
      </c>
      <c r="B20" s="643">
        <f>Notes!A83</f>
        <v>23</v>
      </c>
      <c r="C20" s="634">
        <f>'Consolidated Trial Balance 2016'!D127/1000</f>
        <v>5999015.798760001</v>
      </c>
      <c r="D20" s="785"/>
      <c r="E20" s="634">
        <v>2570335</v>
      </c>
      <c r="F20" s="638"/>
    </row>
    <row r="21" spans="1:7" ht="15.75">
      <c r="A21" s="468" t="s">
        <v>120</v>
      </c>
      <c r="B21" s="643">
        <f>Notes!A98</f>
        <v>24</v>
      </c>
      <c r="C21" s="634">
        <f>'Consolidated Trial Balance 2016'!D152/1000</f>
        <v>1458235.1951400004</v>
      </c>
      <c r="D21" s="785"/>
      <c r="E21" s="634">
        <f>Notes!H104</f>
        <v>2284809</v>
      </c>
      <c r="F21" s="638"/>
      <c r="G21" s="424"/>
    </row>
    <row r="22" spans="1:6" ht="15.75">
      <c r="A22" s="468" t="s">
        <v>587</v>
      </c>
      <c r="B22" s="643">
        <f>PPE1!A8</f>
        <v>31</v>
      </c>
      <c r="C22" s="634">
        <f>PPE1!Q27</f>
        <v>2406803.881294061</v>
      </c>
      <c r="D22" s="867"/>
      <c r="E22" s="634">
        <f>PPE1!Q56</f>
        <v>1377186.8146759667</v>
      </c>
      <c r="F22" s="638"/>
    </row>
    <row r="23" spans="1:6" ht="15.75">
      <c r="A23" s="637"/>
      <c r="B23" s="866"/>
      <c r="C23" s="641">
        <f>SUM(C19:C22)</f>
        <v>34961670.244444065</v>
      </c>
      <c r="D23" s="865"/>
      <c r="E23" s="641">
        <f>SUM(E19:E22)</f>
        <v>27724448.81467597</v>
      </c>
      <c r="F23" s="637"/>
    </row>
    <row r="24" spans="1:8" ht="15.75">
      <c r="A24" s="637"/>
      <c r="B24" s="866"/>
      <c r="C24" s="642"/>
      <c r="D24" s="642"/>
      <c r="E24" s="642"/>
      <c r="F24" s="637"/>
      <c r="H24" s="424"/>
    </row>
    <row r="25" spans="1:6" ht="15.75">
      <c r="A25" s="464" t="s">
        <v>75</v>
      </c>
      <c r="B25" s="866"/>
      <c r="C25" s="634">
        <v>0</v>
      </c>
      <c r="D25" s="867"/>
      <c r="E25" s="868">
        <v>0</v>
      </c>
      <c r="F25" s="638"/>
    </row>
    <row r="26" spans="1:6" ht="15.75">
      <c r="A26" s="464"/>
      <c r="B26" s="866"/>
      <c r="C26" s="869"/>
      <c r="D26" s="639"/>
      <c r="E26" s="869"/>
      <c r="F26" s="638"/>
    </row>
    <row r="27" spans="1:7" ht="16.5" thickBot="1">
      <c r="A27" s="465" t="s">
        <v>1571</v>
      </c>
      <c r="B27" s="866"/>
      <c r="C27" s="870">
        <f>C16-C23+C25</f>
        <v>5354.909359999001</v>
      </c>
      <c r="D27" s="870">
        <f>D16-D23+D25</f>
        <v>0</v>
      </c>
      <c r="E27" s="870">
        <f>E16-E23+E25</f>
        <v>2623.269779998809</v>
      </c>
      <c r="F27" s="870">
        <f>F16-F23+F25</f>
        <v>0</v>
      </c>
      <c r="G27" s="871"/>
    </row>
    <row r="28" spans="1:6" ht="15.75">
      <c r="A28" s="638"/>
      <c r="B28" s="872"/>
      <c r="C28" s="873"/>
      <c r="D28" s="595"/>
      <c r="E28" s="638"/>
      <c r="F28" s="640"/>
    </row>
    <row r="29" spans="1:6" ht="15.75">
      <c r="A29" s="638"/>
      <c r="B29" s="866"/>
      <c r="C29" s="874"/>
      <c r="D29" s="875"/>
      <c r="E29" s="640"/>
      <c r="F29" s="638"/>
    </row>
    <row r="30" spans="1:6" ht="15.75">
      <c r="A30" s="638"/>
      <c r="B30" s="866"/>
      <c r="C30" s="640"/>
      <c r="D30" s="875"/>
      <c r="E30" s="640"/>
      <c r="F30" s="638"/>
    </row>
    <row r="31" spans="1:6" ht="15.75">
      <c r="A31" s="638" t="str">
        <f>'BS'!A43</f>
        <v>The notes on pages 22 to 52 form part of these financial statements. </v>
      </c>
      <c r="B31" s="866"/>
      <c r="C31" s="640"/>
      <c r="D31" s="875"/>
      <c r="E31" s="640"/>
      <c r="F31" s="638"/>
    </row>
    <row r="32" spans="1:6" ht="15.75">
      <c r="A32" s="638"/>
      <c r="B32" s="866"/>
      <c r="C32" s="640"/>
      <c r="D32" s="875"/>
      <c r="E32" s="640"/>
      <c r="F32" s="638"/>
    </row>
    <row r="33" spans="1:6" ht="15.75">
      <c r="A33" s="638"/>
      <c r="B33" s="866"/>
      <c r="C33" s="640"/>
      <c r="D33" s="875"/>
      <c r="E33" s="640"/>
      <c r="F33" s="638"/>
    </row>
    <row r="34" spans="1:6" ht="15.75">
      <c r="A34" s="638"/>
      <c r="B34" s="866"/>
      <c r="C34" s="640"/>
      <c r="D34" s="875"/>
      <c r="E34" s="640"/>
      <c r="F34" s="638"/>
    </row>
    <row r="35" spans="1:6" ht="15.75">
      <c r="A35" s="1002" t="str">
        <f>'BS'!A48</f>
        <v>Name:  Hamisi I. Malinga  Title District Executive Director              Signature  ……………</v>
      </c>
      <c r="B35" s="1002"/>
      <c r="C35" s="1002"/>
      <c r="D35" s="1002"/>
      <c r="E35" s="1002"/>
      <c r="F35" s="1002"/>
    </row>
    <row r="36" spans="2:6" ht="15.75">
      <c r="B36" s="876"/>
      <c r="C36" s="421"/>
      <c r="D36" s="421"/>
      <c r="E36" s="421"/>
      <c r="F36" s="421"/>
    </row>
    <row r="37" spans="2:6" ht="15.75">
      <c r="B37" s="876"/>
      <c r="C37" s="421"/>
      <c r="D37" s="421"/>
      <c r="E37" s="421"/>
      <c r="F37" s="421"/>
    </row>
    <row r="38" spans="2:6" ht="15.75">
      <c r="B38" s="876"/>
      <c r="C38" s="421"/>
      <c r="D38" s="421"/>
      <c r="E38" s="421"/>
      <c r="F38" s="421"/>
    </row>
    <row r="39" spans="2:6" ht="15.75">
      <c r="B39" s="876"/>
      <c r="C39" s="421"/>
      <c r="D39" s="421"/>
      <c r="E39" s="421"/>
      <c r="F39" s="421"/>
    </row>
    <row r="40" spans="1:6" ht="15.75">
      <c r="A40" s="1002" t="str">
        <f>'BS'!A52</f>
        <v>Name:  Nicodemus Tarmo   Title Council Chairman              Signature  ……………</v>
      </c>
      <c r="B40" s="1002"/>
      <c r="C40" s="1002"/>
      <c r="D40" s="1002"/>
      <c r="E40" s="1002"/>
      <c r="F40" s="1002"/>
    </row>
    <row r="45" ht="15.75">
      <c r="A45" s="422"/>
    </row>
    <row r="46" ht="15.75">
      <c r="C46" s="425"/>
    </row>
    <row r="47" ht="15.75">
      <c r="C47" s="424"/>
    </row>
  </sheetData>
  <sheetProtection/>
  <mergeCells count="2">
    <mergeCell ref="A35:F35"/>
    <mergeCell ref="A40:F40"/>
  </mergeCells>
  <printOptions/>
  <pageMargins left="0.66" right="0.48" top="0.51" bottom="0.31" header="0.5" footer="0.26"/>
  <pageSetup firstPageNumber="16" useFirstPageNumber="1" horizontalDpi="600" verticalDpi="6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AF53"/>
  <sheetViews>
    <sheetView zoomScaleSheetLayoutView="90" zoomScalePageLayoutView="0" workbookViewId="0" topLeftCell="A25">
      <selection activeCell="C36" sqref="C36"/>
    </sheetView>
  </sheetViews>
  <sheetFormatPr defaultColWidth="9.00390625" defaultRowHeight="15.75"/>
  <cols>
    <col min="1" max="1" width="54.375" style="415" customWidth="1"/>
    <col min="2" max="2" width="5.25390625" style="420" bestFit="1" customWidth="1"/>
    <col min="3" max="3" width="12.75390625" style="425" customWidth="1"/>
    <col min="4" max="4" width="0.5" style="425" customWidth="1"/>
    <col min="5" max="5" width="12.75390625" style="425" customWidth="1"/>
    <col min="6" max="6" width="0.875" style="415" customWidth="1"/>
    <col min="7" max="7" width="5.375" style="415" customWidth="1"/>
    <col min="8" max="8" width="17.25390625" style="415" customWidth="1"/>
    <col min="9" max="16384" width="9.00390625" style="415" customWidth="1"/>
  </cols>
  <sheetData>
    <row r="1" spans="1:5" ht="15.75">
      <c r="A1" s="412" t="s">
        <v>1519</v>
      </c>
      <c r="B1" s="414"/>
      <c r="C1" s="423"/>
      <c r="D1" s="423"/>
      <c r="E1" s="423"/>
    </row>
    <row r="2" spans="1:5" ht="15.75">
      <c r="A2" s="412" t="s">
        <v>1520</v>
      </c>
      <c r="B2" s="414"/>
      <c r="C2" s="423"/>
      <c r="D2" s="423"/>
      <c r="E2" s="423"/>
    </row>
    <row r="3" spans="1:5" ht="15.75">
      <c r="A3" s="412" t="s">
        <v>960</v>
      </c>
      <c r="B3" s="414"/>
      <c r="C3" s="423"/>
      <c r="D3" s="423"/>
      <c r="E3" s="423"/>
    </row>
    <row r="4" spans="1:5" ht="15.75">
      <c r="A4" s="413"/>
      <c r="B4" s="414"/>
      <c r="C4" s="423"/>
      <c r="D4" s="423"/>
      <c r="E4" s="423"/>
    </row>
    <row r="5" spans="1:5" ht="15.75">
      <c r="A5" s="413" t="s">
        <v>1565</v>
      </c>
      <c r="C5" s="423"/>
      <c r="D5" s="423"/>
      <c r="E5" s="423"/>
    </row>
    <row r="6" spans="1:5" ht="15.75">
      <c r="A6" s="413" t="s">
        <v>2289</v>
      </c>
      <c r="B6" s="414"/>
      <c r="C6" s="423"/>
      <c r="D6" s="423"/>
      <c r="E6" s="423"/>
    </row>
    <row r="7" spans="1:5" ht="15.75">
      <c r="A7" s="413"/>
      <c r="B7" s="414"/>
      <c r="C7" s="500" t="s">
        <v>2291</v>
      </c>
      <c r="D7" s="434"/>
      <c r="E7" s="500" t="s">
        <v>2084</v>
      </c>
    </row>
    <row r="8" spans="1:5" ht="15.75">
      <c r="A8" s="413"/>
      <c r="B8" s="442"/>
      <c r="C8" s="432" t="s">
        <v>1202</v>
      </c>
      <c r="D8" s="432"/>
      <c r="E8" s="432" t="s">
        <v>1202</v>
      </c>
    </row>
    <row r="9" spans="1:5" ht="15.75">
      <c r="A9" s="413"/>
      <c r="B9" s="414"/>
      <c r="C9" s="423"/>
      <c r="D9" s="423"/>
      <c r="E9" s="423"/>
    </row>
    <row r="10" spans="1:5" ht="15.75">
      <c r="A10" s="413"/>
      <c r="B10" s="414"/>
      <c r="C10" s="423"/>
      <c r="D10" s="423"/>
      <c r="E10" s="423"/>
    </row>
    <row r="11" spans="1:5" ht="15.75">
      <c r="A11" s="445" t="s">
        <v>1083</v>
      </c>
      <c r="B11" s="459"/>
      <c r="C11" s="503"/>
      <c r="D11" s="503"/>
      <c r="E11" s="503"/>
    </row>
    <row r="12" spans="1:5" ht="15.75">
      <c r="A12" s="450" t="str">
        <f>'IS'!A10</f>
        <v>Local taxes</v>
      </c>
      <c r="B12" s="459"/>
      <c r="C12" s="497">
        <f>'IS'!C10</f>
        <v>574211.52863</v>
      </c>
      <c r="D12" s="497"/>
      <c r="E12" s="497">
        <f>'IS'!E10</f>
        <v>736735.3265699999</v>
      </c>
    </row>
    <row r="13" spans="1:5" ht="15.75">
      <c r="A13" s="450" t="str">
        <f>'IS'!A11</f>
        <v>Fees, fines, penalties and licenses</v>
      </c>
      <c r="B13" s="459"/>
      <c r="C13" s="497">
        <f>'IS'!C11</f>
        <v>484452.3766</v>
      </c>
      <c r="D13" s="497"/>
      <c r="E13" s="497">
        <f>'IS'!E11</f>
        <v>435938.382</v>
      </c>
    </row>
    <row r="14" spans="1:5" ht="15.75">
      <c r="A14" s="450" t="str">
        <f>'IS'!A12</f>
        <v>Amortisation of recurrent grants</v>
      </c>
      <c r="B14" s="459"/>
      <c r="C14" s="497">
        <f>'IS'!C12</f>
        <v>30614944</v>
      </c>
      <c r="D14" s="497"/>
      <c r="E14" s="497">
        <f>'IS'!E12</f>
        <v>24118569.5</v>
      </c>
    </row>
    <row r="15" spans="1:5" ht="15.75">
      <c r="A15" s="450" t="str">
        <f>'IS'!A13</f>
        <v>Revenue from exchange transactions</v>
      </c>
      <c r="B15" s="459"/>
      <c r="C15" s="497">
        <f>'IS'!C13</f>
        <v>13825</v>
      </c>
      <c r="D15" s="497"/>
      <c r="E15" s="497">
        <f>'IS'!E13</f>
        <v>29408.524</v>
      </c>
    </row>
    <row r="16" spans="1:5" ht="15.75">
      <c r="A16" s="450" t="str">
        <f>'IS'!A14</f>
        <v>Amortisation of capital grant</v>
      </c>
      <c r="B16" s="459"/>
      <c r="C16" s="497">
        <f>'IS'!C14</f>
        <v>2406803.881294061</v>
      </c>
      <c r="D16" s="497"/>
      <c r="E16" s="497">
        <f>'IS'!E14</f>
        <v>1377186.8146759667</v>
      </c>
    </row>
    <row r="17" spans="1:5" ht="15.75">
      <c r="A17" s="450" t="str">
        <f>'IS'!A15</f>
        <v>Other own source revenue</v>
      </c>
      <c r="B17" s="459"/>
      <c r="C17" s="497">
        <f>'IS'!C15</f>
        <v>872788.36728</v>
      </c>
      <c r="D17" s="496"/>
      <c r="E17" s="497">
        <f>'IS'!E15</f>
        <v>1029233.53721</v>
      </c>
    </row>
    <row r="18" spans="1:5" ht="15.75">
      <c r="A18" s="452"/>
      <c r="B18" s="460"/>
      <c r="C18" s="509">
        <f>SUM(C12:C17)</f>
        <v>34967025.153804064</v>
      </c>
      <c r="D18" s="502"/>
      <c r="E18" s="509">
        <f>SUM(E12:E17)</f>
        <v>27727072.084455967</v>
      </c>
    </row>
    <row r="19" spans="1:5" ht="15.75">
      <c r="A19" s="450"/>
      <c r="B19" s="460"/>
      <c r="C19" s="503"/>
      <c r="D19" s="504"/>
      <c r="E19" s="503"/>
    </row>
    <row r="20" spans="1:5" ht="15.75">
      <c r="A20" s="452" t="s">
        <v>1522</v>
      </c>
      <c r="B20" s="461"/>
      <c r="C20" s="503"/>
      <c r="D20" s="503"/>
      <c r="E20" s="503"/>
    </row>
    <row r="21" spans="1:32" s="427" customFormat="1" ht="16.5">
      <c r="A21" s="450" t="s">
        <v>1570</v>
      </c>
      <c r="B21" s="460"/>
      <c r="C21" s="614">
        <v>2551162</v>
      </c>
      <c r="D21" s="497"/>
      <c r="E21" s="614">
        <v>3082397</v>
      </c>
      <c r="H21" s="624"/>
      <c r="Z21" s="427">
        <v>409146</v>
      </c>
      <c r="AB21" s="427">
        <v>45410</v>
      </c>
      <c r="AD21" s="427">
        <v>5200</v>
      </c>
      <c r="AF21" s="427">
        <v>19540</v>
      </c>
    </row>
    <row r="22" spans="1:8" ht="16.5">
      <c r="A22" s="450" t="s">
        <v>1869</v>
      </c>
      <c r="B22" s="460"/>
      <c r="C22" s="614">
        <v>61482</v>
      </c>
      <c r="D22" s="497"/>
      <c r="E22" s="614">
        <v>143540</v>
      </c>
      <c r="H22" s="418"/>
    </row>
    <row r="23" spans="1:8" ht="16.5">
      <c r="A23" s="450" t="s">
        <v>3</v>
      </c>
      <c r="B23" s="460"/>
      <c r="C23" s="614">
        <v>124851</v>
      </c>
      <c r="D23" s="497"/>
      <c r="E23" s="614">
        <v>146453</v>
      </c>
      <c r="H23" s="418"/>
    </row>
    <row r="24" spans="1:32" ht="17.25" thickBot="1">
      <c r="A24" s="450" t="s">
        <v>1870</v>
      </c>
      <c r="B24" s="460"/>
      <c r="C24" s="614">
        <v>134892</v>
      </c>
      <c r="D24" s="497"/>
      <c r="E24" s="614">
        <v>40427</v>
      </c>
      <c r="H24" s="499"/>
      <c r="I24" s="499"/>
      <c r="J24" s="499"/>
      <c r="K24" s="499"/>
      <c r="L24" s="499"/>
      <c r="M24" s="499"/>
      <c r="N24" s="499"/>
      <c r="O24" s="499"/>
      <c r="P24" s="499"/>
      <c r="Q24" s="499"/>
      <c r="R24" s="499"/>
      <c r="S24" s="499"/>
      <c r="T24" s="499"/>
      <c r="U24" s="499"/>
      <c r="V24" s="499"/>
      <c r="W24" s="499"/>
      <c r="X24" s="499"/>
      <c r="Y24" s="499"/>
      <c r="Z24" s="499"/>
      <c r="AA24" s="499"/>
      <c r="AB24" s="506">
        <v>45410</v>
      </c>
      <c r="AC24" s="499"/>
      <c r="AD24" s="506">
        <v>5200</v>
      </c>
      <c r="AE24" s="499"/>
      <c r="AF24" s="506">
        <v>19540</v>
      </c>
    </row>
    <row r="25" spans="1:8" ht="17.25" thickTop="1">
      <c r="A25" s="450" t="s">
        <v>1871</v>
      </c>
      <c r="B25" s="460"/>
      <c r="C25" s="614">
        <v>78451</v>
      </c>
      <c r="D25" s="497"/>
      <c r="E25" s="614">
        <v>100313</v>
      </c>
      <c r="H25" s="620"/>
    </row>
    <row r="26" spans="1:8" ht="16.5">
      <c r="A26" s="468" t="s">
        <v>1054</v>
      </c>
      <c r="B26" s="643"/>
      <c r="C26" s="614">
        <v>134586</v>
      </c>
      <c r="D26" s="634"/>
      <c r="E26" s="614">
        <v>48251</v>
      </c>
      <c r="H26" s="418"/>
    </row>
    <row r="27" spans="1:8" ht="16.5">
      <c r="A27" s="450" t="s">
        <v>1872</v>
      </c>
      <c r="B27" s="460"/>
      <c r="C27" s="614">
        <v>17674222</v>
      </c>
      <c r="D27" s="497"/>
      <c r="E27" s="614">
        <v>370988</v>
      </c>
      <c r="H27" s="621"/>
    </row>
    <row r="28" spans="1:8" ht="16.5">
      <c r="A28" s="450" t="s">
        <v>1873</v>
      </c>
      <c r="B28" s="460"/>
      <c r="C28" s="614">
        <v>5347822</v>
      </c>
      <c r="D28" s="497"/>
      <c r="E28" s="614">
        <v>15361257</v>
      </c>
      <c r="H28" s="622"/>
    </row>
    <row r="29" spans="1:8" ht="16.5">
      <c r="A29" s="450" t="s">
        <v>1874</v>
      </c>
      <c r="B29" s="460"/>
      <c r="C29" s="614">
        <v>2147882</v>
      </c>
      <c r="D29" s="497"/>
      <c r="E29" s="614">
        <v>4359280</v>
      </c>
      <c r="H29" s="622"/>
    </row>
    <row r="30" spans="1:8" ht="16.5">
      <c r="A30" s="450" t="s">
        <v>1746</v>
      </c>
      <c r="B30" s="460"/>
      <c r="C30" s="614">
        <v>2210796</v>
      </c>
      <c r="D30" s="497"/>
      <c r="E30" s="614">
        <v>1020093</v>
      </c>
      <c r="H30" s="438"/>
    </row>
    <row r="31" spans="1:8" ht="16.5">
      <c r="A31" s="450" t="s">
        <v>1875</v>
      </c>
      <c r="B31" s="460"/>
      <c r="C31" s="614">
        <v>1978562</v>
      </c>
      <c r="D31" s="497"/>
      <c r="E31" s="614">
        <v>1138309</v>
      </c>
      <c r="H31" s="622"/>
    </row>
    <row r="32" spans="1:8" ht="16.5">
      <c r="A32" s="450" t="s">
        <v>1876</v>
      </c>
      <c r="B32" s="460"/>
      <c r="C32" s="614">
        <v>42571</v>
      </c>
      <c r="D32" s="497"/>
      <c r="E32" s="614">
        <v>42779</v>
      </c>
      <c r="H32" s="418"/>
    </row>
    <row r="33" spans="1:8" ht="16.5">
      <c r="A33" s="450" t="s">
        <v>1877</v>
      </c>
      <c r="B33" s="460"/>
      <c r="C33" s="614">
        <v>19742</v>
      </c>
      <c r="D33" s="497"/>
      <c r="E33" s="614">
        <v>19916</v>
      </c>
      <c r="H33" s="418"/>
    </row>
    <row r="34" spans="1:8" ht="16.5">
      <c r="A34" s="450" t="s">
        <v>1878</v>
      </c>
      <c r="B34" s="460"/>
      <c r="C34" s="614">
        <v>47845</v>
      </c>
      <c r="D34" s="497"/>
      <c r="E34" s="614">
        <v>74329</v>
      </c>
      <c r="H34" s="621"/>
    </row>
    <row r="35" spans="1:8" ht="16.5">
      <c r="A35" s="450" t="s">
        <v>2466</v>
      </c>
      <c r="B35" s="460"/>
      <c r="C35" s="614">
        <f>'IS'!C22</f>
        <v>2406803.881294061</v>
      </c>
      <c r="D35" s="497"/>
      <c r="E35" s="614"/>
      <c r="H35" s="621"/>
    </row>
    <row r="36" spans="1:8" ht="15.75">
      <c r="A36" s="449"/>
      <c r="B36" s="444"/>
      <c r="C36" s="509">
        <f>SUM(C21:C35)</f>
        <v>34961669.881294064</v>
      </c>
      <c r="D36" s="501"/>
      <c r="E36" s="509">
        <f>SUM(E21:E34)</f>
        <v>25948332</v>
      </c>
      <c r="H36" s="644"/>
    </row>
    <row r="37" spans="1:8" ht="15.75">
      <c r="A37" s="464" t="s">
        <v>1085</v>
      </c>
      <c r="B37" s="462"/>
      <c r="C37" s="497">
        <f>'IS'!C25</f>
        <v>0</v>
      </c>
      <c r="D37" s="497"/>
      <c r="E37" s="497">
        <f>'IS'!E25</f>
        <v>0</v>
      </c>
      <c r="H37" s="426"/>
    </row>
    <row r="38" spans="1:8" ht="15.75">
      <c r="A38" s="464"/>
      <c r="B38" s="462"/>
      <c r="C38" s="497"/>
      <c r="D38" s="497"/>
      <c r="E38" s="497"/>
      <c r="H38" s="426">
        <v>34080220</v>
      </c>
    </row>
    <row r="39" spans="1:8" ht="16.5" thickBot="1">
      <c r="A39" s="465" t="s">
        <v>1571</v>
      </c>
      <c r="B39" s="463"/>
      <c r="C39" s="505">
        <f>C18-C36+C37</f>
        <v>5355.272509999573</v>
      </c>
      <c r="D39" s="503"/>
      <c r="E39" s="505">
        <f>E18-E36+E37</f>
        <v>1778740.084455967</v>
      </c>
      <c r="H39" s="424">
        <f>H38-C36</f>
        <v>-881449.8812940642</v>
      </c>
    </row>
    <row r="40" spans="1:5" ht="16.5" thickTop="1">
      <c r="A40" s="443"/>
      <c r="B40" s="462"/>
      <c r="C40" s="503"/>
      <c r="D40" s="503"/>
      <c r="E40" s="503"/>
    </row>
    <row r="41" spans="1:5" ht="15.75">
      <c r="A41" s="449" t="s">
        <v>1572</v>
      </c>
      <c r="B41" s="463"/>
      <c r="C41" s="503"/>
      <c r="D41" s="503"/>
      <c r="E41" s="503"/>
    </row>
    <row r="42" spans="1:8" s="427" customFormat="1" ht="15.75">
      <c r="A42" s="443" t="s">
        <v>1573</v>
      </c>
      <c r="B42" s="463"/>
      <c r="C42" s="497">
        <f>'IS'!C27</f>
        <v>5354.909359999001</v>
      </c>
      <c r="D42" s="497"/>
      <c r="E42" s="497">
        <f>'IS'!E27</f>
        <v>2623.269779998809</v>
      </c>
      <c r="H42" s="778"/>
    </row>
    <row r="43" spans="1:5" ht="15.75">
      <c r="A43" s="443" t="s">
        <v>1574</v>
      </c>
      <c r="B43" s="462"/>
      <c r="C43" s="497">
        <v>0</v>
      </c>
      <c r="D43" s="497"/>
      <c r="E43" s="497">
        <v>0</v>
      </c>
    </row>
    <row r="44" spans="1:5" ht="16.5" thickBot="1">
      <c r="A44" s="418"/>
      <c r="B44" s="419"/>
      <c r="C44" s="507">
        <f>SUM(C42:C43)</f>
        <v>5354.909359999001</v>
      </c>
      <c r="D44" s="508"/>
      <c r="E44" s="507">
        <f>SUM(E42:E43)</f>
        <v>2623.269779998809</v>
      </c>
    </row>
    <row r="45" ht="16.5" thickTop="1"/>
    <row r="46" ht="15.75">
      <c r="A46" s="415" t="str">
        <f>'BS'!A43</f>
        <v>The notes on pages 22 to 52 form part of these financial statements. </v>
      </c>
    </row>
    <row r="48" spans="1:3" ht="15.75">
      <c r="A48" s="415" t="str">
        <f>'BS'!A48</f>
        <v>Name:  Hamisi I. Malinga  Title District Executive Director              Signature  ……………</v>
      </c>
      <c r="C48" s="625"/>
    </row>
    <row r="50" ht="15.75">
      <c r="A50" s="415" t="str">
        <f>'BS'!A52</f>
        <v>Name:  Nicodemus Tarmo   Title Council Chairman              Signature  ……………</v>
      </c>
    </row>
    <row r="53" ht="15.75">
      <c r="E53" s="415"/>
    </row>
  </sheetData>
  <sheetProtection/>
  <printOptions/>
  <pageMargins left="0.49" right="0.48" top="0.51" bottom="0.31" header="0.5" footer="0.26"/>
  <pageSetup firstPageNumber="19" useFirstPageNumber="1" horizontalDpi="600" verticalDpi="600" orientation="portrait" paperSize="9"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I26"/>
  <sheetViews>
    <sheetView tabSelected="1" view="pageBreakPreview" zoomScale="75" zoomScaleSheetLayoutView="75" zoomScalePageLayoutView="0" workbookViewId="0" topLeftCell="A1">
      <selection activeCell="E19" sqref="E19"/>
    </sheetView>
  </sheetViews>
  <sheetFormatPr defaultColWidth="9.00390625" defaultRowHeight="15.75"/>
  <cols>
    <col min="1" max="1" width="43.25390625" style="436" customWidth="1"/>
    <col min="2" max="2" width="1.00390625" style="440" customWidth="1"/>
    <col min="3" max="3" width="14.50390625" style="436" customWidth="1"/>
    <col min="4" max="4" width="0.74609375" style="436" customWidth="1"/>
    <col min="5" max="5" width="14.50390625" style="436" customWidth="1"/>
    <col min="6" max="6" width="0.74609375" style="436" customWidth="1"/>
    <col min="7" max="7" width="14.50390625" style="436" customWidth="1"/>
    <col min="8" max="8" width="0.875" style="436" customWidth="1"/>
    <col min="9" max="9" width="14.50390625" style="437" bestFit="1" customWidth="1"/>
    <col min="10" max="16384" width="9.00390625" style="436" customWidth="1"/>
  </cols>
  <sheetData>
    <row r="1" ht="15.75">
      <c r="A1" s="435" t="str">
        <f>'BS'!A1</f>
        <v>THE UNITED REPUBLIC OF TANZANIA</v>
      </c>
    </row>
    <row r="2" ht="15.75">
      <c r="A2" s="435" t="str">
        <f>'BS'!A2</f>
        <v>PRRESIDENT’S OFFICE - REGIONAL ADMINISTRATION AND LOCAL GOVERNMENT</v>
      </c>
    </row>
    <row r="3" ht="15.75">
      <c r="A3" s="435" t="str">
        <f>'BS'!A3</f>
        <v>BABATI DISTRICT COUNCIL</v>
      </c>
    </row>
    <row r="4" ht="15.75">
      <c r="A4" s="435"/>
    </row>
    <row r="5" ht="15.75">
      <c r="A5" s="435" t="s">
        <v>1567</v>
      </c>
    </row>
    <row r="6" spans="1:3" ht="15.75">
      <c r="A6" s="435" t="str">
        <f>'BS'!A6</f>
        <v>AS AT 30 JUNE 2016</v>
      </c>
      <c r="C6" s="570"/>
    </row>
    <row r="7" spans="1:9" ht="31.5">
      <c r="A7" s="451"/>
      <c r="B7" s="451"/>
      <c r="C7" s="476" t="s">
        <v>1132</v>
      </c>
      <c r="D7" s="474"/>
      <c r="E7" s="476" t="s">
        <v>1256</v>
      </c>
      <c r="F7" s="474"/>
      <c r="G7" s="476" t="s">
        <v>943</v>
      </c>
      <c r="H7" s="451"/>
      <c r="I7" s="492"/>
    </row>
    <row r="8" spans="1:9" ht="15.75">
      <c r="A8" s="451"/>
      <c r="B8" s="456"/>
      <c r="C8" s="455" t="str">
        <f>'BS'!D8</f>
        <v>TZS '000</v>
      </c>
      <c r="D8" s="455"/>
      <c r="E8" s="455" t="str">
        <f>'BS'!F8</f>
        <v>TZS '000</v>
      </c>
      <c r="F8" s="455"/>
      <c r="G8" s="455" t="s">
        <v>2066</v>
      </c>
      <c r="H8" s="451"/>
      <c r="I8" s="492"/>
    </row>
    <row r="9" spans="1:9" ht="15.75">
      <c r="A9" s="448"/>
      <c r="B9" s="456"/>
      <c r="C9" s="451"/>
      <c r="D9" s="451"/>
      <c r="E9" s="451"/>
      <c r="F9" s="451"/>
      <c r="G9" s="451"/>
      <c r="H9" s="451"/>
      <c r="I9" s="492"/>
    </row>
    <row r="10" spans="1:9" ht="15.75">
      <c r="A10" s="448"/>
      <c r="B10" s="456"/>
      <c r="C10" s="451"/>
      <c r="D10" s="451"/>
      <c r="E10" s="451"/>
      <c r="F10" s="451"/>
      <c r="G10" s="451"/>
      <c r="H10" s="451"/>
      <c r="I10" s="492"/>
    </row>
    <row r="11" spans="1:9" ht="15.75">
      <c r="A11" s="448" t="s">
        <v>2400</v>
      </c>
      <c r="B11" s="451"/>
      <c r="C11" s="570">
        <f>'BS'!F38</f>
        <v>-4043697</v>
      </c>
      <c r="D11" s="570"/>
      <c r="E11" s="570">
        <v>0</v>
      </c>
      <c r="F11" s="570"/>
      <c r="G11" s="570">
        <f>C11+E11</f>
        <v>-4043697</v>
      </c>
      <c r="H11" s="451"/>
      <c r="I11" s="492"/>
    </row>
    <row r="12" spans="1:9" ht="15.75">
      <c r="A12" s="451" t="s">
        <v>2416</v>
      </c>
      <c r="B12" s="451"/>
      <c r="C12" s="439">
        <v>0</v>
      </c>
      <c r="G12" s="570">
        <f>C12+E12</f>
        <v>0</v>
      </c>
      <c r="H12" s="451"/>
      <c r="I12" s="492"/>
    </row>
    <row r="13" spans="1:9" ht="15.75">
      <c r="A13" s="626"/>
      <c r="B13" s="451"/>
      <c r="C13" s="439">
        <v>0</v>
      </c>
      <c r="G13" s="570">
        <f>C13+E13</f>
        <v>0</v>
      </c>
      <c r="H13" s="451"/>
      <c r="I13" s="492"/>
    </row>
    <row r="14" spans="1:9" ht="15.75">
      <c r="A14" s="626"/>
      <c r="B14" s="451"/>
      <c r="C14" s="437">
        <v>0</v>
      </c>
      <c r="D14" s="570"/>
      <c r="E14" s="570"/>
      <c r="F14" s="570"/>
      <c r="G14" s="570">
        <f>C14+E14</f>
        <v>0</v>
      </c>
      <c r="H14" s="451"/>
      <c r="I14" s="492"/>
    </row>
    <row r="15" spans="1:9" ht="15.75">
      <c r="A15" s="448" t="s">
        <v>1257</v>
      </c>
      <c r="B15" s="456"/>
      <c r="C15" s="570">
        <f>SUM(C11:C14)</f>
        <v>-4043697</v>
      </c>
      <c r="D15" s="570"/>
      <c r="E15" s="570">
        <v>0</v>
      </c>
      <c r="F15" s="570"/>
      <c r="G15" s="570">
        <f>SUM(G11:G14)</f>
        <v>-4043697</v>
      </c>
      <c r="H15" s="451"/>
      <c r="I15" s="492"/>
    </row>
    <row r="16" spans="1:9" ht="15.75">
      <c r="A16" s="448"/>
      <c r="B16" s="456"/>
      <c r="C16" s="570"/>
      <c r="D16" s="570"/>
      <c r="E16" s="570"/>
      <c r="F16" s="570"/>
      <c r="G16" s="570"/>
      <c r="H16" s="451"/>
      <c r="I16" s="492"/>
    </row>
    <row r="17" spans="1:9" ht="15.75">
      <c r="A17" s="451"/>
      <c r="B17" s="451"/>
      <c r="C17" s="570"/>
      <c r="D17" s="570"/>
      <c r="E17" s="570"/>
      <c r="F17" s="570"/>
      <c r="G17" s="570"/>
      <c r="H17" s="451"/>
      <c r="I17" s="492"/>
    </row>
    <row r="18" spans="1:9" ht="15.75">
      <c r="A18" s="448" t="s">
        <v>2445</v>
      </c>
      <c r="B18" s="451"/>
      <c r="C18" s="570">
        <v>0</v>
      </c>
      <c r="D18" s="570"/>
      <c r="E18" s="570">
        <f>PPE1!I27</f>
        <v>0</v>
      </c>
      <c r="F18" s="570"/>
      <c r="G18" s="570">
        <f>C18+E18</f>
        <v>0</v>
      </c>
      <c r="H18" s="451"/>
      <c r="I18" s="492"/>
    </row>
    <row r="19" spans="1:9" ht="15.75">
      <c r="A19" s="451" t="s">
        <v>1607</v>
      </c>
      <c r="B19" s="451"/>
      <c r="C19" s="627">
        <f>'IS'!C27</f>
        <v>5354.909359999001</v>
      </c>
      <c r="D19" s="570"/>
      <c r="E19" s="627">
        <v>0</v>
      </c>
      <c r="F19" s="570"/>
      <c r="G19" s="627">
        <f>SUM(C19:E19)</f>
        <v>5354.909359999001</v>
      </c>
      <c r="H19" s="451"/>
      <c r="I19" s="492"/>
    </row>
    <row r="20" spans="1:9" ht="15.75">
      <c r="A20" s="451"/>
      <c r="B20" s="451"/>
      <c r="C20" s="570"/>
      <c r="D20" s="570"/>
      <c r="E20" s="570"/>
      <c r="F20" s="570"/>
      <c r="G20" s="570"/>
      <c r="H20" s="451"/>
      <c r="I20" s="492"/>
    </row>
    <row r="21" spans="1:9" ht="16.5" thickBot="1">
      <c r="A21" s="448" t="s">
        <v>2459</v>
      </c>
      <c r="B21" s="451"/>
      <c r="C21" s="629">
        <f>C15+C19</f>
        <v>-4038342.090640001</v>
      </c>
      <c r="D21" s="570"/>
      <c r="E21" s="629">
        <f>SUM(E18:E19)</f>
        <v>0</v>
      </c>
      <c r="F21" s="570"/>
      <c r="G21" s="629">
        <f>SUM(G15:G19)</f>
        <v>-4038342.090640001</v>
      </c>
      <c r="H21" s="451"/>
      <c r="I21" s="492"/>
    </row>
    <row r="22" spans="1:7" ht="16.5" thickTop="1">
      <c r="A22" s="451"/>
      <c r="C22" s="440"/>
      <c r="D22" s="440"/>
      <c r="E22" s="440"/>
      <c r="F22" s="440"/>
      <c r="G22" s="440"/>
    </row>
    <row r="23" spans="3:7" ht="15.75">
      <c r="C23" s="628"/>
      <c r="D23" s="440"/>
      <c r="E23" s="440"/>
      <c r="F23" s="440"/>
      <c r="G23" s="440"/>
    </row>
    <row r="24" spans="3:7" ht="15.75">
      <c r="C24" s="439"/>
      <c r="D24" s="439"/>
      <c r="E24" s="439"/>
      <c r="F24" s="439"/>
      <c r="G24" s="439"/>
    </row>
    <row r="25" spans="3:7" ht="15.75">
      <c r="C25" s="439"/>
      <c r="D25" s="439"/>
      <c r="E25" s="439"/>
      <c r="F25" s="439"/>
      <c r="G25" s="439"/>
    </row>
    <row r="26" ht="15.75">
      <c r="A26" s="436" t="str">
        <f>'BS'!A43</f>
        <v>The notes on pages 22 to 52 form part of these financial statements. </v>
      </c>
    </row>
  </sheetData>
  <sheetProtection/>
  <printOptions/>
  <pageMargins left="0.5" right="0.21" top="0.4" bottom="0.23" header="0.36" footer="0.25"/>
  <pageSetup firstPageNumber="17" useFirstPageNumber="1" horizontalDpi="1200" verticalDpi="1200" orientation="portrait"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L49"/>
  <sheetViews>
    <sheetView zoomScalePageLayoutView="0" workbookViewId="0" topLeftCell="A24">
      <selection activeCell="G21" sqref="G21"/>
    </sheetView>
  </sheetViews>
  <sheetFormatPr defaultColWidth="9.00390625" defaultRowHeight="15.75"/>
  <cols>
    <col min="1" max="1" width="41.50390625" style="663" customWidth="1"/>
    <col min="2" max="2" width="1.25" style="663" customWidth="1"/>
    <col min="3" max="3" width="5.00390625" style="663" customWidth="1"/>
    <col min="4" max="4" width="0.5" style="663" customWidth="1"/>
    <col min="5" max="5" width="13.375" style="663" bestFit="1" customWidth="1"/>
    <col min="6" max="6" width="0.875" style="663" customWidth="1"/>
    <col min="7" max="7" width="13.875" style="663" bestFit="1" customWidth="1"/>
    <col min="8" max="8" width="12.125" style="663" bestFit="1" customWidth="1"/>
    <col min="9" max="9" width="9.50390625" style="663" bestFit="1" customWidth="1"/>
    <col min="10" max="10" width="9.00390625" style="663" customWidth="1"/>
    <col min="11" max="11" width="9.875" style="663" bestFit="1" customWidth="1"/>
    <col min="12" max="12" width="10.375" style="663" bestFit="1" customWidth="1"/>
    <col min="13" max="16384" width="9.00390625" style="663" customWidth="1"/>
  </cols>
  <sheetData>
    <row r="1" spans="1:5" s="415" customFormat="1" ht="15.75">
      <c r="A1" s="427" t="s">
        <v>1519</v>
      </c>
      <c r="B1" s="419"/>
      <c r="C1" s="413"/>
      <c r="D1" s="413"/>
      <c r="E1" s="413"/>
    </row>
    <row r="2" spans="1:5" s="415" customFormat="1" ht="15.75">
      <c r="A2" s="427" t="s">
        <v>2462</v>
      </c>
      <c r="B2" s="419"/>
      <c r="C2" s="413"/>
      <c r="D2" s="413"/>
      <c r="E2" s="413"/>
    </row>
    <row r="3" spans="1:5" s="415" customFormat="1" ht="15.75">
      <c r="A3" s="427" t="s">
        <v>960</v>
      </c>
      <c r="B3" s="419"/>
      <c r="C3" s="413"/>
      <c r="D3" s="413"/>
      <c r="E3" s="413"/>
    </row>
    <row r="4" spans="1:5" s="415" customFormat="1" ht="12" customHeight="1">
      <c r="A4" s="427"/>
      <c r="B4" s="419"/>
      <c r="C4" s="413"/>
      <c r="D4" s="413"/>
      <c r="E4" s="413"/>
    </row>
    <row r="5" spans="1:5" s="959" customFormat="1" ht="16.5">
      <c r="A5" s="959" t="s">
        <v>2438</v>
      </c>
      <c r="B5" s="960"/>
      <c r="C5" s="961"/>
      <c r="D5" s="961"/>
      <c r="E5" s="961"/>
    </row>
    <row r="6" spans="1:5" s="959" customFormat="1" ht="16.5">
      <c r="A6" s="959" t="s">
        <v>2461</v>
      </c>
      <c r="B6" s="960"/>
      <c r="C6" s="961"/>
      <c r="D6" s="961"/>
      <c r="E6" s="961"/>
    </row>
    <row r="7" spans="2:5" s="959" customFormat="1" ht="9" customHeight="1">
      <c r="B7" s="960"/>
      <c r="C7" s="961"/>
      <c r="D7" s="961"/>
      <c r="E7" s="961"/>
    </row>
    <row r="8" spans="1:7" ht="15.75">
      <c r="A8" s="667"/>
      <c r="B8" s="667"/>
      <c r="C8" s="757"/>
      <c r="E8" s="962" t="s">
        <v>2291</v>
      </c>
      <c r="F8" s="963"/>
      <c r="G8" s="962" t="s">
        <v>2084</v>
      </c>
    </row>
    <row r="9" spans="1:7" ht="15.75">
      <c r="A9" s="667"/>
      <c r="B9" s="667"/>
      <c r="C9" s="758" t="s">
        <v>1562</v>
      </c>
      <c r="E9" s="964" t="s">
        <v>2446</v>
      </c>
      <c r="F9" s="965"/>
      <c r="G9" s="964" t="s">
        <v>2446</v>
      </c>
    </row>
    <row r="10" spans="1:7" ht="15.75">
      <c r="A10" s="966" t="s">
        <v>1331</v>
      </c>
      <c r="B10" s="667"/>
      <c r="C10" s="758"/>
      <c r="E10" s="964"/>
      <c r="F10" s="965"/>
      <c r="G10" s="964"/>
    </row>
    <row r="11" spans="1:7" ht="15.75">
      <c r="A11" s="966" t="s">
        <v>2447</v>
      </c>
      <c r="B11" s="667"/>
      <c r="C11" s="758"/>
      <c r="E11" s="964"/>
      <c r="F11" s="965"/>
      <c r="G11" s="964"/>
    </row>
    <row r="12" spans="1:7" ht="15.75">
      <c r="A12" s="967" t="s">
        <v>2448</v>
      </c>
      <c r="C12" s="772">
        <v>10</v>
      </c>
      <c r="D12" s="968"/>
      <c r="E12" s="969">
        <f>Notes!F51</f>
        <v>30448175.64167</v>
      </c>
      <c r="F12" s="970"/>
      <c r="G12" s="969">
        <v>23981181.831080005</v>
      </c>
    </row>
    <row r="13" spans="1:7" ht="15.75">
      <c r="A13" s="683" t="s">
        <v>372</v>
      </c>
      <c r="C13" s="772">
        <v>17</v>
      </c>
      <c r="D13" s="968"/>
      <c r="E13" s="969">
        <f>'IS'!C10</f>
        <v>574211.52863</v>
      </c>
      <c r="F13" s="970"/>
      <c r="G13" s="969">
        <f>'IS'!E10</f>
        <v>736735.3265699999</v>
      </c>
    </row>
    <row r="14" spans="1:7" ht="15.75">
      <c r="A14" s="683" t="s">
        <v>438</v>
      </c>
      <c r="C14" s="772">
        <v>18</v>
      </c>
      <c r="D14" s="968"/>
      <c r="E14" s="969">
        <f>'IS'!C11</f>
        <v>484452.3766</v>
      </c>
      <c r="F14" s="970"/>
      <c r="G14" s="969">
        <f>'IS'!E11</f>
        <v>435938.382</v>
      </c>
    </row>
    <row r="15" spans="1:7" ht="15.75">
      <c r="A15" s="704" t="s">
        <v>439</v>
      </c>
      <c r="C15" s="772">
        <v>20</v>
      </c>
      <c r="D15" s="968"/>
      <c r="E15" s="969">
        <f>'IS'!C13</f>
        <v>13825</v>
      </c>
      <c r="F15" s="970"/>
      <c r="G15" s="969">
        <f>'IS'!E13</f>
        <v>29408.524</v>
      </c>
    </row>
    <row r="16" spans="1:7" ht="15.75">
      <c r="A16" s="683" t="s">
        <v>460</v>
      </c>
      <c r="C16" s="772">
        <v>21</v>
      </c>
      <c r="D16" s="968"/>
      <c r="E16" s="969">
        <f>'IS'!C15</f>
        <v>872788.36728</v>
      </c>
      <c r="F16" s="970"/>
      <c r="G16" s="969">
        <f>'IS'!E15</f>
        <v>1029233.53721</v>
      </c>
    </row>
    <row r="17" spans="1:7" ht="15.75">
      <c r="A17" s="966" t="s">
        <v>943</v>
      </c>
      <c r="B17" s="664"/>
      <c r="C17" s="772"/>
      <c r="D17" s="967"/>
      <c r="E17" s="971">
        <f>SUM(E12:E16)</f>
        <v>32393452.91418</v>
      </c>
      <c r="F17" s="972"/>
      <c r="G17" s="971">
        <f>SUM(G12:G16)</f>
        <v>26212497.600860003</v>
      </c>
    </row>
    <row r="18" spans="1:7" ht="15.75">
      <c r="A18" s="966" t="s">
        <v>2449</v>
      </c>
      <c r="B18" s="664"/>
      <c r="C18" s="772"/>
      <c r="D18" s="967"/>
      <c r="E18" s="969"/>
      <c r="F18" s="972"/>
      <c r="G18" s="969"/>
    </row>
    <row r="19" spans="1:12" ht="15.75">
      <c r="A19" s="967" t="str">
        <f>'IS'!A19</f>
        <v>Wages, salaries and employee benefits</v>
      </c>
      <c r="C19" s="772">
        <v>22</v>
      </c>
      <c r="D19" s="973"/>
      <c r="E19" s="974">
        <f>'IS'!C19-223137.97+630</f>
        <v>24875107.39925</v>
      </c>
      <c r="F19" s="975"/>
      <c r="G19" s="974">
        <f>'IS'!E19</f>
        <v>21492118</v>
      </c>
      <c r="H19" s="813"/>
      <c r="I19" s="740"/>
      <c r="K19" s="675"/>
      <c r="L19" s="676"/>
    </row>
    <row r="20" spans="1:9" ht="15.75">
      <c r="A20" s="967" t="str">
        <f>'IS'!A20</f>
        <v>Supplies and consumables used</v>
      </c>
      <c r="C20" s="772">
        <v>23</v>
      </c>
      <c r="D20" s="967"/>
      <c r="E20" s="974">
        <f>'IS'!C20+140450+2</f>
        <v>6139467.798760001</v>
      </c>
      <c r="F20" s="972"/>
      <c r="G20" s="969">
        <f>'IS'!E20-367282-1</f>
        <v>2203052</v>
      </c>
      <c r="H20" s="813"/>
      <c r="I20" s="740"/>
    </row>
    <row r="21" spans="1:10" ht="15.75">
      <c r="A21" s="967" t="s">
        <v>2450</v>
      </c>
      <c r="C21" s="772">
        <v>24</v>
      </c>
      <c r="D21" s="973"/>
      <c r="E21" s="969">
        <f>'IS'!C21</f>
        <v>1458235.1951400004</v>
      </c>
      <c r="F21" s="972"/>
      <c r="G21" s="969">
        <f>'IS'!E21+203684</f>
        <v>2488493</v>
      </c>
      <c r="H21" s="813"/>
      <c r="I21" s="740"/>
      <c r="J21" s="740"/>
    </row>
    <row r="22" spans="1:7" ht="15.75">
      <c r="A22" s="966" t="s">
        <v>943</v>
      </c>
      <c r="C22" s="772"/>
      <c r="D22" s="973"/>
      <c r="E22" s="976">
        <f>SUM(E19:E21)</f>
        <v>32472810.39315</v>
      </c>
      <c r="F22" s="972"/>
      <c r="G22" s="971">
        <f>SUM(G19:G21)</f>
        <v>26183663</v>
      </c>
    </row>
    <row r="23" spans="1:10" ht="15.75">
      <c r="A23" s="966" t="s">
        <v>2451</v>
      </c>
      <c r="C23" s="772"/>
      <c r="D23" s="973"/>
      <c r="E23" s="977">
        <f>E17-E22</f>
        <v>-79357.47897000238</v>
      </c>
      <c r="F23" s="975"/>
      <c r="G23" s="977">
        <f>G17-G22</f>
        <v>28834.600860003382</v>
      </c>
      <c r="J23" s="740"/>
    </row>
    <row r="24" spans="1:7" ht="15.75">
      <c r="A24" s="966"/>
      <c r="C24" s="772"/>
      <c r="D24" s="973"/>
      <c r="E24" s="975"/>
      <c r="F24" s="975"/>
      <c r="G24" s="975"/>
    </row>
    <row r="25" spans="1:7" ht="15.75">
      <c r="A25" s="967"/>
      <c r="C25" s="772"/>
      <c r="D25" s="973"/>
      <c r="E25" s="975">
        <v>0</v>
      </c>
      <c r="F25" s="975"/>
      <c r="G25" s="975" t="s">
        <v>2460</v>
      </c>
    </row>
    <row r="26" spans="1:7" ht="15.75">
      <c r="A26" s="966" t="s">
        <v>2452</v>
      </c>
      <c r="B26" s="664"/>
      <c r="C26" s="754"/>
      <c r="D26" s="966"/>
      <c r="E26" s="978">
        <f>E23+E25</f>
        <v>-79357.47897000238</v>
      </c>
      <c r="F26" s="979"/>
      <c r="G26" s="978">
        <f>G23</f>
        <v>28834.600860003382</v>
      </c>
    </row>
    <row r="27" spans="1:7" ht="15.75">
      <c r="A27" s="966"/>
      <c r="C27" s="772"/>
      <c r="D27" s="967"/>
      <c r="E27" s="974"/>
      <c r="F27" s="975"/>
      <c r="G27" s="974"/>
    </row>
    <row r="28" spans="1:7" ht="15.75">
      <c r="A28" s="966" t="s">
        <v>1258</v>
      </c>
      <c r="C28" s="772"/>
      <c r="D28" s="967"/>
      <c r="E28" s="974"/>
      <c r="F28" s="975"/>
      <c r="G28" s="974"/>
    </row>
    <row r="29" spans="1:7" ht="15.75">
      <c r="A29" s="967" t="s">
        <v>2453</v>
      </c>
      <c r="C29" s="772">
        <v>31</v>
      </c>
      <c r="D29" s="967"/>
      <c r="E29" s="969">
        <f>-Capex!J26</f>
        <v>-1690243.42867</v>
      </c>
      <c r="F29" s="972"/>
      <c r="G29" s="969">
        <v>-3660943.33177</v>
      </c>
    </row>
    <row r="30" spans="1:7" ht="15.75">
      <c r="A30" s="967" t="s">
        <v>2454</v>
      </c>
      <c r="C30" s="772"/>
      <c r="D30" s="967"/>
      <c r="E30" s="969"/>
      <c r="F30" s="972"/>
      <c r="G30" s="969"/>
    </row>
    <row r="31" spans="1:7" ht="15.75">
      <c r="A31" s="967" t="s">
        <v>2455</v>
      </c>
      <c r="C31" s="772"/>
      <c r="D31" s="967"/>
      <c r="E31" s="969">
        <v>0</v>
      </c>
      <c r="F31" s="972"/>
      <c r="G31" s="969">
        <v>0</v>
      </c>
    </row>
    <row r="32" spans="1:7" ht="15.75">
      <c r="A32" s="966" t="s">
        <v>1259</v>
      </c>
      <c r="B32" s="664"/>
      <c r="C32" s="754"/>
      <c r="D32" s="966"/>
      <c r="E32" s="978">
        <f>SUM(E29:E31)</f>
        <v>-1690243.42867</v>
      </c>
      <c r="F32" s="979"/>
      <c r="G32" s="978">
        <f>SUM(G29:G31)</f>
        <v>-3660943.33177</v>
      </c>
    </row>
    <row r="33" spans="1:7" ht="15.75">
      <c r="A33" s="966"/>
      <c r="C33" s="772"/>
      <c r="D33" s="967"/>
      <c r="E33" s="975"/>
      <c r="F33" s="975"/>
      <c r="G33" s="975"/>
    </row>
    <row r="34" spans="1:7" ht="15.75">
      <c r="A34" s="966" t="s">
        <v>1260</v>
      </c>
      <c r="C34" s="772"/>
      <c r="D34" s="967"/>
      <c r="E34" s="974"/>
      <c r="F34" s="975"/>
      <c r="G34" s="974"/>
    </row>
    <row r="35" spans="1:7" ht="15.75">
      <c r="A35" s="967" t="s">
        <v>2456</v>
      </c>
      <c r="C35" s="772">
        <v>40</v>
      </c>
      <c r="D35" s="967"/>
      <c r="E35" s="969">
        <f>Capex!H26</f>
        <v>1340863.71815</v>
      </c>
      <c r="F35" s="972"/>
      <c r="G35" s="969">
        <v>4015341</v>
      </c>
    </row>
    <row r="36" spans="1:7" ht="15.75">
      <c r="A36" s="966" t="s">
        <v>2457</v>
      </c>
      <c r="B36" s="664"/>
      <c r="C36" s="664"/>
      <c r="D36" s="966"/>
      <c r="E36" s="980">
        <f>SUM(E35)</f>
        <v>1340863.71815</v>
      </c>
      <c r="F36" s="970"/>
      <c r="G36" s="980">
        <v>4015341</v>
      </c>
    </row>
    <row r="37" spans="1:7" ht="15.75">
      <c r="A37" s="966"/>
      <c r="B37" s="664"/>
      <c r="C37" s="664"/>
      <c r="D37" s="966"/>
      <c r="E37" s="970"/>
      <c r="F37" s="970"/>
      <c r="G37" s="970"/>
    </row>
    <row r="38" spans="1:7" ht="15.75">
      <c r="A38" s="966" t="s">
        <v>2493</v>
      </c>
      <c r="B38" s="664"/>
      <c r="C38" s="664"/>
      <c r="D38" s="966"/>
      <c r="E38" s="970">
        <f>Notes!F242</f>
        <v>199893.86605</v>
      </c>
      <c r="F38" s="970"/>
      <c r="G38" s="970">
        <f>Notes!H242</f>
        <v>327286.06325</v>
      </c>
    </row>
    <row r="39" spans="1:7" ht="15.75">
      <c r="A39" s="966"/>
      <c r="B39" s="664"/>
      <c r="C39" s="664"/>
      <c r="D39" s="966"/>
      <c r="E39" s="972"/>
      <c r="F39" s="972"/>
      <c r="G39" s="972"/>
    </row>
    <row r="40" spans="1:7" ht="15.75">
      <c r="A40" s="966" t="s">
        <v>2458</v>
      </c>
      <c r="B40" s="664"/>
      <c r="C40" s="664"/>
      <c r="D40" s="966"/>
      <c r="E40" s="976">
        <f>E26+E32+E36+E38</f>
        <v>-228843.32344000234</v>
      </c>
      <c r="F40" s="979"/>
      <c r="G40" s="976">
        <f>G26+G32+G36+G38</f>
        <v>710518.3323400033</v>
      </c>
    </row>
    <row r="41" spans="1:7" ht="15.75">
      <c r="A41" s="966"/>
      <c r="B41" s="664"/>
      <c r="C41" s="664"/>
      <c r="D41" s="966"/>
      <c r="E41" s="976"/>
      <c r="F41" s="979"/>
      <c r="G41" s="976"/>
    </row>
    <row r="42" spans="1:7" ht="15.75">
      <c r="A42" s="966" t="s">
        <v>1261</v>
      </c>
      <c r="B42" s="664"/>
      <c r="C42" s="664"/>
      <c r="D42" s="966"/>
      <c r="E42" s="969">
        <f>G44</f>
        <v>1296977.3323400035</v>
      </c>
      <c r="F42" s="970"/>
      <c r="G42" s="969">
        <v>586459</v>
      </c>
    </row>
    <row r="43" spans="1:7" ht="15.75">
      <c r="A43" s="966"/>
      <c r="B43" s="664"/>
      <c r="C43" s="664"/>
      <c r="D43" s="966"/>
      <c r="E43" s="971"/>
      <c r="F43" s="970"/>
      <c r="G43" s="971"/>
    </row>
    <row r="44" spans="1:7" ht="17.25" thickBot="1">
      <c r="A44" s="966" t="s">
        <v>1262</v>
      </c>
      <c r="B44" s="664"/>
      <c r="C44" s="664"/>
      <c r="D44" s="966"/>
      <c r="E44" s="981">
        <f>SUM(E40:E43)</f>
        <v>1068134.0089000012</v>
      </c>
      <c r="F44" s="979"/>
      <c r="G44" s="981">
        <f>SUM(G40:G43)</f>
        <v>1296977.3323400035</v>
      </c>
    </row>
    <row r="45" spans="5:7" ht="16.5" thickTop="1">
      <c r="E45" s="998"/>
      <c r="G45" s="670"/>
    </row>
    <row r="46" spans="5:7" ht="15.75">
      <c r="E46" s="672"/>
      <c r="G46" s="672"/>
    </row>
    <row r="47" ht="15.75">
      <c r="A47" s="663" t="str">
        <f>'IS'!A35</f>
        <v>Name:  Hamisi I. Malinga  Title District Executive Director              Signature  ……………</v>
      </c>
    </row>
    <row r="49" ht="15.75">
      <c r="A49" s="663" t="str">
        <f>'IS'!A40</f>
        <v>Name:  Nicodemus Tarmo   Title Council Chairman              Signature  ……………</v>
      </c>
    </row>
  </sheetData>
  <sheetProtection/>
  <printOptions/>
  <pageMargins left="1.21" right="0.7" top="0.32" bottom="0.45" header="0.22" footer="0.18"/>
  <pageSetup firstPageNumber="18" useFirstPageNumber="1" horizontalDpi="600" verticalDpi="60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J113"/>
  <sheetViews>
    <sheetView view="pageBreakPreview" zoomScale="75" zoomScaleSheetLayoutView="75" zoomScalePageLayoutView="0" workbookViewId="0" topLeftCell="A1">
      <pane ySplit="8" topLeftCell="A22" activePane="bottomLeft" state="frozen"/>
      <selection pane="topLeft" activeCell="A1" sqref="A1"/>
      <selection pane="bottomLeft" activeCell="I33" sqref="I33"/>
    </sheetView>
  </sheetViews>
  <sheetFormatPr defaultColWidth="12.625" defaultRowHeight="15.75"/>
  <cols>
    <col min="1" max="1" width="49.50390625" style="663" customWidth="1"/>
    <col min="2" max="2" width="6.50390625" style="772" bestFit="1" customWidth="1"/>
    <col min="3" max="3" width="0.5" style="673" customWidth="1"/>
    <col min="4" max="4" width="16.375" style="671" bestFit="1" customWidth="1"/>
    <col min="5" max="5" width="0.6171875" style="671" customWidth="1"/>
    <col min="6" max="6" width="15.625" style="671" customWidth="1"/>
    <col min="7" max="7" width="0.875" style="755" customWidth="1"/>
    <col min="8" max="16384" width="12.625" style="663" customWidth="1"/>
  </cols>
  <sheetData>
    <row r="1" spans="1:6" ht="15.75">
      <c r="A1" s="664" t="str">
        <f>'IS'!A1</f>
        <v>THE UNITED REPUBLIC OF TANZANIA</v>
      </c>
      <c r="B1" s="754"/>
      <c r="C1" s="667"/>
      <c r="D1" s="677"/>
      <c r="E1" s="677"/>
      <c r="F1" s="677"/>
    </row>
    <row r="2" spans="1:6" ht="15.75">
      <c r="A2" s="664" t="str">
        <f>'IS'!A2</f>
        <v>PRRESIDENT’S OFFICE - REGIONAL ADMINISTRATION AND LOCAL GOVERNMENT</v>
      </c>
      <c r="B2" s="754"/>
      <c r="C2" s="667"/>
      <c r="D2" s="677"/>
      <c r="E2" s="677"/>
      <c r="F2" s="677"/>
    </row>
    <row r="3" spans="1:6" ht="15.75">
      <c r="A3" s="664" t="str">
        <f>'IS'!A3</f>
        <v>BABATI DISTRICT COUNCIL</v>
      </c>
      <c r="B3" s="754"/>
      <c r="C3" s="667"/>
      <c r="D3" s="677"/>
      <c r="E3" s="677"/>
      <c r="F3" s="677"/>
    </row>
    <row r="4" spans="1:6" ht="12" customHeight="1">
      <c r="A4" s="664"/>
      <c r="B4" s="754"/>
      <c r="C4" s="667"/>
      <c r="D4" s="677"/>
      <c r="E4" s="677"/>
      <c r="F4" s="677"/>
    </row>
    <row r="5" spans="1:8" ht="15.75">
      <c r="A5" s="664" t="s">
        <v>1566</v>
      </c>
      <c r="B5" s="754"/>
      <c r="C5" s="667"/>
      <c r="D5" s="677"/>
      <c r="E5" s="677"/>
      <c r="F5" s="677"/>
      <c r="H5" s="672"/>
    </row>
    <row r="6" spans="1:6" ht="15.75">
      <c r="A6" s="756" t="s">
        <v>2288</v>
      </c>
      <c r="B6" s="754"/>
      <c r="C6" s="667"/>
      <c r="D6" s="677"/>
      <c r="E6" s="677"/>
      <c r="F6" s="677"/>
    </row>
    <row r="7" spans="1:6" ht="15.75">
      <c r="A7" s="667"/>
      <c r="B7" s="757"/>
      <c r="C7" s="667"/>
      <c r="D7" s="665">
        <v>2016</v>
      </c>
      <c r="E7" s="666"/>
      <c r="F7" s="665">
        <v>2015</v>
      </c>
    </row>
    <row r="8" spans="1:6" ht="15.75">
      <c r="A8" s="667"/>
      <c r="B8" s="758" t="s">
        <v>1110</v>
      </c>
      <c r="C8" s="757"/>
      <c r="D8" s="668" t="s">
        <v>1202</v>
      </c>
      <c r="E8" s="669"/>
      <c r="F8" s="668" t="s">
        <v>1202</v>
      </c>
    </row>
    <row r="9" spans="1:6" ht="15.75">
      <c r="A9" s="759" t="s">
        <v>1114</v>
      </c>
      <c r="B9" s="760"/>
      <c r="C9" s="663"/>
      <c r="D9" s="761"/>
      <c r="E9" s="725"/>
      <c r="F9" s="761"/>
    </row>
    <row r="10" spans="1:9" ht="15.75">
      <c r="A10" s="759" t="s">
        <v>602</v>
      </c>
      <c r="B10" s="760"/>
      <c r="C10" s="663"/>
      <c r="D10" s="762"/>
      <c r="E10" s="723"/>
      <c r="F10" s="762"/>
      <c r="I10" s="676"/>
    </row>
    <row r="11" spans="1:9" ht="15.75">
      <c r="A11" s="689" t="s">
        <v>1802</v>
      </c>
      <c r="B11" s="763">
        <f>Notes!A225</f>
        <v>27</v>
      </c>
      <c r="C11" s="663"/>
      <c r="D11" s="687">
        <f>'Consolidated Trial Balance 2016'!D181/1000</f>
        <v>1068134.2754</v>
      </c>
      <c r="E11" s="674"/>
      <c r="F11" s="687">
        <f>Notes!H243</f>
        <v>1296976.81316</v>
      </c>
      <c r="H11" s="672"/>
      <c r="I11" s="672"/>
    </row>
    <row r="12" spans="1:9" ht="15.75">
      <c r="A12" s="689" t="s">
        <v>646</v>
      </c>
      <c r="B12" s="763">
        <f>Notes!A246</f>
        <v>28</v>
      </c>
      <c r="C12" s="663"/>
      <c r="D12" s="687">
        <f>Notes!F253</f>
        <v>545893.1398400001</v>
      </c>
      <c r="E12" s="674"/>
      <c r="F12" s="687">
        <f>Notes!H253</f>
        <v>494205.22566999996</v>
      </c>
      <c r="H12" s="672"/>
      <c r="I12" s="672"/>
    </row>
    <row r="13" spans="1:9" ht="15.75">
      <c r="A13" s="689" t="s">
        <v>603</v>
      </c>
      <c r="B13" s="763">
        <f>Notes!A258</f>
        <v>29</v>
      </c>
      <c r="C13" s="663"/>
      <c r="D13" s="687">
        <f>'Consolidated Trial Balance 2016'!D183/1000</f>
        <v>140449.961</v>
      </c>
      <c r="E13" s="674"/>
      <c r="F13" s="687">
        <f>Notes!H264</f>
        <v>203683.66763</v>
      </c>
      <c r="H13" s="672"/>
      <c r="I13" s="672"/>
    </row>
    <row r="14" spans="1:9" ht="15.75">
      <c r="A14" s="764"/>
      <c r="B14" s="760"/>
      <c r="C14" s="663"/>
      <c r="D14" s="765">
        <f>SUM(D11:D13)</f>
        <v>1754477.3762400001</v>
      </c>
      <c r="E14" s="674"/>
      <c r="F14" s="765">
        <f>SUM(F11:F13)</f>
        <v>1994865.70646</v>
      </c>
      <c r="H14" s="765"/>
      <c r="I14" s="765"/>
    </row>
    <row r="15" spans="1:8" ht="15.75">
      <c r="A15" s="759" t="s">
        <v>1611</v>
      </c>
      <c r="B15" s="760"/>
      <c r="C15" s="663"/>
      <c r="D15" s="766"/>
      <c r="E15" s="767"/>
      <c r="F15" s="766"/>
      <c r="H15" s="672"/>
    </row>
    <row r="16" spans="1:9" ht="15.75">
      <c r="A16" s="689" t="s">
        <v>1575</v>
      </c>
      <c r="B16" s="763">
        <f>Notes!A268</f>
        <v>30</v>
      </c>
      <c r="C16" s="663"/>
      <c r="D16" s="687">
        <f>'Consolidated Trial Balance 2016'!D185/1000</f>
        <v>13966.05</v>
      </c>
      <c r="E16" s="674"/>
      <c r="F16" s="687">
        <f>Notes!H271</f>
        <v>13966</v>
      </c>
      <c r="H16" s="672"/>
      <c r="I16" s="672"/>
    </row>
    <row r="17" spans="1:9" ht="15.75">
      <c r="A17" s="689" t="s">
        <v>601</v>
      </c>
      <c r="B17" s="763">
        <f>PPE1!A8</f>
        <v>31</v>
      </c>
      <c r="C17" s="663"/>
      <c r="D17" s="687">
        <f>PPE1!Y27</f>
        <v>15696749.137584073</v>
      </c>
      <c r="E17" s="674"/>
      <c r="F17" s="687">
        <f>PPE1!Y56</f>
        <v>12875309.090208132</v>
      </c>
      <c r="H17" s="672"/>
      <c r="I17" s="672"/>
    </row>
    <row r="18" spans="1:9" ht="15.75">
      <c r="A18" s="768"/>
      <c r="B18" s="760"/>
      <c r="C18" s="663"/>
      <c r="D18" s="765">
        <f>SUM(D16:D17)</f>
        <v>15710715.187584074</v>
      </c>
      <c r="E18" s="674"/>
      <c r="F18" s="765">
        <f>SUM(F16:F17)</f>
        <v>12889275.090208132</v>
      </c>
      <c r="H18" s="765"/>
      <c r="I18" s="765"/>
    </row>
    <row r="19" spans="1:8" ht="10.5" customHeight="1">
      <c r="A19" s="768"/>
      <c r="B19" s="760"/>
      <c r="C19" s="663"/>
      <c r="D19" s="674"/>
      <c r="E19" s="674"/>
      <c r="F19" s="674"/>
      <c r="H19" s="672"/>
    </row>
    <row r="20" spans="1:9" ht="15.75">
      <c r="A20" s="759" t="s">
        <v>606</v>
      </c>
      <c r="B20" s="760"/>
      <c r="C20" s="663"/>
      <c r="D20" s="746">
        <f>D18+D14</f>
        <v>17465192.563824072</v>
      </c>
      <c r="E20" s="723"/>
      <c r="F20" s="746">
        <f>F18+F14</f>
        <v>14884140.79666813</v>
      </c>
      <c r="H20" s="746"/>
      <c r="I20" s="746"/>
    </row>
    <row r="21" spans="1:8" ht="11.25" customHeight="1">
      <c r="A21" s="759"/>
      <c r="B21" s="760"/>
      <c r="C21" s="663"/>
      <c r="D21" s="723"/>
      <c r="E21" s="723"/>
      <c r="F21" s="723"/>
      <c r="H21" s="672"/>
    </row>
    <row r="22" spans="1:8" ht="15.75">
      <c r="A22" s="759" t="s">
        <v>1754</v>
      </c>
      <c r="B22" s="760"/>
      <c r="C22" s="663"/>
      <c r="D22" s="723"/>
      <c r="E22" s="723"/>
      <c r="F22" s="723"/>
      <c r="H22" s="672"/>
    </row>
    <row r="23" spans="1:9" ht="15.75">
      <c r="A23" s="759" t="s">
        <v>1204</v>
      </c>
      <c r="B23" s="760"/>
      <c r="C23" s="663"/>
      <c r="D23" s="762"/>
      <c r="E23" s="723"/>
      <c r="F23" s="762"/>
      <c r="H23" s="672"/>
      <c r="I23" s="672"/>
    </row>
    <row r="24" spans="1:9" ht="15.75">
      <c r="A24" s="689" t="s">
        <v>1082</v>
      </c>
      <c r="B24" s="760">
        <f>Notes!A391</f>
        <v>32</v>
      </c>
      <c r="C24" s="663"/>
      <c r="D24" s="687">
        <f>'Consolidated Trial Balance 2016'!E167/1000</f>
        <v>423031.83701</v>
      </c>
      <c r="E24" s="674"/>
      <c r="F24" s="802">
        <f>694568-0.5</f>
        <v>694567.5</v>
      </c>
      <c r="G24" s="755">
        <v>21230</v>
      </c>
      <c r="H24" s="672"/>
      <c r="I24" s="672"/>
    </row>
    <row r="25" spans="1:8" ht="15.75">
      <c r="A25" s="689" t="s">
        <v>648</v>
      </c>
      <c r="B25" s="760">
        <f>Notes!A399</f>
        <v>33</v>
      </c>
      <c r="C25" s="663"/>
      <c r="D25" s="687">
        <f>Notes!F409</f>
        <v>326340.7433</v>
      </c>
      <c r="E25" s="674"/>
      <c r="F25" s="687">
        <f>Notes!H409</f>
        <v>80163.5</v>
      </c>
      <c r="H25" s="672"/>
    </row>
    <row r="26" spans="1:8" ht="15.75">
      <c r="A26" s="689" t="s">
        <v>2048</v>
      </c>
      <c r="B26" s="760">
        <f>Notes!A30</f>
        <v>19</v>
      </c>
      <c r="C26" s="663"/>
      <c r="D26" s="687">
        <f>Notes!F57</f>
        <v>229133.24458000436</v>
      </c>
      <c r="E26" s="674"/>
      <c r="F26" s="687">
        <f>Notes!H57</f>
        <v>305706.50291000307</v>
      </c>
      <c r="H26" s="672"/>
    </row>
    <row r="27" spans="1:9" ht="15.75">
      <c r="A27" s="768"/>
      <c r="B27" s="760"/>
      <c r="C27" s="663"/>
      <c r="D27" s="730">
        <f>SUM(D24:D26)</f>
        <v>978505.8248900044</v>
      </c>
      <c r="E27" s="723"/>
      <c r="F27" s="730">
        <f>SUM(F24:F26)</f>
        <v>1080437.502910003</v>
      </c>
      <c r="G27" s="755">
        <v>22791501</v>
      </c>
      <c r="H27" s="730"/>
      <c r="I27" s="730"/>
    </row>
    <row r="28" spans="1:8" ht="15.75">
      <c r="A28" s="759" t="s">
        <v>1203</v>
      </c>
      <c r="B28" s="760"/>
      <c r="C28" s="663"/>
      <c r="D28" s="762"/>
      <c r="E28" s="723"/>
      <c r="F28" s="762"/>
      <c r="H28" s="672"/>
    </row>
    <row r="29" spans="1:8" ht="15.75">
      <c r="A29" s="689" t="s">
        <v>648</v>
      </c>
      <c r="B29" s="760">
        <f>Notes!A399</f>
        <v>33</v>
      </c>
      <c r="C29" s="663"/>
      <c r="D29" s="687">
        <f>Notes!F410</f>
        <v>261242.3</v>
      </c>
      <c r="E29" s="674"/>
      <c r="F29" s="687">
        <f>Notes!H410</f>
        <v>55674</v>
      </c>
      <c r="H29" s="672"/>
    </row>
    <row r="30" spans="1:10" ht="15.75">
      <c r="A30" s="689" t="s">
        <v>2049</v>
      </c>
      <c r="B30" s="763">
        <f>Notes!A414</f>
        <v>34</v>
      </c>
      <c r="C30" s="663"/>
      <c r="D30" s="687">
        <f>Notes!F430</f>
        <v>20263786.578776672</v>
      </c>
      <c r="E30" s="687">
        <f>Notes!G430</f>
        <v>0</v>
      </c>
      <c r="F30" s="687">
        <f>Notes!H430</f>
        <v>17791726.337970734</v>
      </c>
      <c r="H30" s="672"/>
      <c r="I30" s="672"/>
      <c r="J30" s="672"/>
    </row>
    <row r="31" spans="1:10" ht="15.75">
      <c r="A31" s="768"/>
      <c r="B31" s="760"/>
      <c r="C31" s="663"/>
      <c r="D31" s="765">
        <f>SUM(D29:D30)</f>
        <v>20525028.878776673</v>
      </c>
      <c r="E31" s="674"/>
      <c r="F31" s="765">
        <f>SUM(F29:F30)</f>
        <v>17847400.337970734</v>
      </c>
      <c r="G31" s="755">
        <v>121927365</v>
      </c>
      <c r="H31" s="765"/>
      <c r="J31" s="676"/>
    </row>
    <row r="32" spans="1:8" ht="9" customHeight="1">
      <c r="A32" s="768"/>
      <c r="B32" s="760"/>
      <c r="C32" s="663"/>
      <c r="D32" s="769"/>
      <c r="E32" s="723"/>
      <c r="F32" s="769"/>
      <c r="H32" s="672"/>
    </row>
    <row r="33" spans="1:8" ht="15.75">
      <c r="A33" s="759" t="s">
        <v>406</v>
      </c>
      <c r="B33" s="760"/>
      <c r="C33" s="663"/>
      <c r="D33" s="746">
        <f>D31+D27</f>
        <v>21503534.703666676</v>
      </c>
      <c r="E33" s="723"/>
      <c r="F33" s="746">
        <f>F31+F27</f>
        <v>18927837.840880737</v>
      </c>
      <c r="G33" s="755">
        <v>2579658</v>
      </c>
      <c r="H33" s="672"/>
    </row>
    <row r="34" spans="1:8" ht="7.5" customHeight="1">
      <c r="A34" s="759"/>
      <c r="B34" s="760"/>
      <c r="C34" s="663"/>
      <c r="D34" s="723"/>
      <c r="E34" s="723"/>
      <c r="F34" s="723"/>
      <c r="H34" s="672"/>
    </row>
    <row r="35" spans="1:8" ht="16.5" thickBot="1">
      <c r="A35" s="759" t="s">
        <v>1576</v>
      </c>
      <c r="B35" s="760"/>
      <c r="C35" s="663"/>
      <c r="D35" s="728">
        <f>D20-D33</f>
        <v>-4038342.1398426034</v>
      </c>
      <c r="E35" s="725"/>
      <c r="F35" s="728">
        <f>F20-F33</f>
        <v>-4043697.044212606</v>
      </c>
      <c r="G35" s="755">
        <f>SUM(G26:G33)</f>
        <v>147298524</v>
      </c>
      <c r="H35" s="725"/>
    </row>
    <row r="36" spans="1:8" ht="16.5" thickTop="1">
      <c r="A36" s="759"/>
      <c r="B36" s="760"/>
      <c r="C36" s="663"/>
      <c r="D36" s="762"/>
      <c r="E36" s="723"/>
      <c r="F36" s="762"/>
      <c r="H36" s="679"/>
    </row>
    <row r="37" spans="1:8" ht="15.75">
      <c r="A37" s="759" t="s">
        <v>1576</v>
      </c>
      <c r="B37" s="760"/>
      <c r="C37" s="663"/>
      <c r="D37" s="762"/>
      <c r="E37" s="723"/>
      <c r="F37" s="762"/>
      <c r="G37" s="770" t="e">
        <f>G35+#REF!</f>
        <v>#REF!</v>
      </c>
      <c r="H37" s="679"/>
    </row>
    <row r="38" spans="1:9" ht="15.75">
      <c r="A38" s="689" t="s">
        <v>12</v>
      </c>
      <c r="B38" s="760"/>
      <c r="C38" s="663"/>
      <c r="D38" s="687">
        <f>SCNA!C21</f>
        <v>-4038342.090640001</v>
      </c>
      <c r="E38" s="674"/>
      <c r="F38" s="687">
        <v>-4043697</v>
      </c>
      <c r="H38" s="679"/>
      <c r="I38" s="672"/>
    </row>
    <row r="39" spans="1:8" ht="15.75">
      <c r="A39" s="689" t="s">
        <v>2465</v>
      </c>
      <c r="B39" s="760"/>
      <c r="C39" s="663"/>
      <c r="D39" s="687">
        <f>SCNA!E21</f>
        <v>0</v>
      </c>
      <c r="E39" s="674"/>
      <c r="F39" s="687"/>
      <c r="H39" s="679"/>
    </row>
    <row r="40" spans="1:8" ht="16.5" thickBot="1">
      <c r="A40" s="759" t="s">
        <v>1755</v>
      </c>
      <c r="B40" s="760"/>
      <c r="C40" s="663"/>
      <c r="D40" s="771">
        <f>SUM(D38:D39)</f>
        <v>-4038342.090640001</v>
      </c>
      <c r="E40" s="725"/>
      <c r="F40" s="771">
        <f>SUM(F38:F39)</f>
        <v>-4043697</v>
      </c>
      <c r="H40" s="725"/>
    </row>
    <row r="41" spans="1:6" ht="8.25" customHeight="1" thickTop="1">
      <c r="A41" s="759"/>
      <c r="B41" s="760"/>
      <c r="C41" s="663"/>
      <c r="D41" s="762"/>
      <c r="E41" s="723"/>
      <c r="F41" s="762"/>
    </row>
    <row r="42" spans="1:6" ht="8.25" customHeight="1">
      <c r="A42" s="759"/>
      <c r="B42" s="760"/>
      <c r="C42" s="663"/>
      <c r="D42" s="762"/>
      <c r="E42" s="723"/>
      <c r="F42" s="762"/>
    </row>
    <row r="43" spans="1:3" ht="15.75">
      <c r="A43" s="663" t="s">
        <v>2500</v>
      </c>
      <c r="B43" s="678"/>
      <c r="C43" s="671"/>
    </row>
    <row r="44" spans="1:3" ht="15.75">
      <c r="A44" s="663" t="s">
        <v>2417</v>
      </c>
      <c r="B44" s="678"/>
      <c r="C44" s="671"/>
    </row>
    <row r="45" spans="2:3" ht="15.75">
      <c r="B45" s="678"/>
      <c r="C45" s="671"/>
    </row>
    <row r="46" spans="2:3" ht="15.75">
      <c r="B46" s="678"/>
      <c r="C46" s="671"/>
    </row>
    <row r="47" spans="2:3" ht="15.75">
      <c r="B47" s="678"/>
      <c r="C47" s="671"/>
    </row>
    <row r="48" spans="1:6" ht="15.75">
      <c r="A48" s="1003" t="s">
        <v>2401</v>
      </c>
      <c r="B48" s="1003"/>
      <c r="C48" s="1003"/>
      <c r="D48" s="1003"/>
      <c r="E48" s="1003"/>
      <c r="F48" s="1003"/>
    </row>
    <row r="49" spans="2:3" ht="15.75">
      <c r="B49" s="678"/>
      <c r="C49" s="671"/>
    </row>
    <row r="50" spans="2:3" ht="15.75">
      <c r="B50" s="678"/>
      <c r="C50" s="671"/>
    </row>
    <row r="51" spans="2:3" ht="15.75">
      <c r="B51" s="678"/>
      <c r="C51" s="671"/>
    </row>
    <row r="52" spans="1:6" ht="15.75">
      <c r="A52" s="1003" t="s">
        <v>2402</v>
      </c>
      <c r="B52" s="1003"/>
      <c r="C52" s="1003"/>
      <c r="D52" s="1003"/>
      <c r="E52" s="1003"/>
      <c r="F52" s="1003"/>
    </row>
    <row r="53" spans="2:3" ht="15.75">
      <c r="B53" s="678"/>
      <c r="C53" s="671"/>
    </row>
    <row r="54" spans="2:3" ht="15.75">
      <c r="B54" s="678"/>
      <c r="C54" s="671"/>
    </row>
    <row r="55" ht="15.75">
      <c r="F55" s="670"/>
    </row>
    <row r="56" spans="4:8" ht="15.75">
      <c r="D56" s="670">
        <f>D35-D40</f>
        <v>-0.04920260235667229</v>
      </c>
      <c r="E56" s="670"/>
      <c r="F56" s="670"/>
      <c r="H56" s="670"/>
    </row>
    <row r="88" spans="3:6" ht="15.75">
      <c r="C88" s="663"/>
      <c r="D88" s="670"/>
      <c r="F88" s="670"/>
    </row>
    <row r="89" spans="3:6" ht="15.75">
      <c r="C89" s="663"/>
      <c r="D89" s="670"/>
      <c r="F89" s="670"/>
    </row>
    <row r="90" spans="3:6" ht="15.75">
      <c r="C90" s="663"/>
      <c r="D90" s="670"/>
      <c r="F90" s="670"/>
    </row>
    <row r="91" spans="3:6" ht="15.75">
      <c r="C91" s="663"/>
      <c r="D91" s="670"/>
      <c r="F91" s="670"/>
    </row>
    <row r="92" spans="3:6" ht="15.75">
      <c r="C92" s="663"/>
      <c r="D92" s="670"/>
      <c r="F92" s="670"/>
    </row>
    <row r="93" spans="3:6" ht="15.75">
      <c r="C93" s="663"/>
      <c r="D93" s="670"/>
      <c r="F93" s="670"/>
    </row>
    <row r="94" spans="3:6" ht="15.75">
      <c r="C94" s="663"/>
      <c r="D94" s="670"/>
      <c r="F94" s="670"/>
    </row>
    <row r="95" spans="3:6" ht="15.75">
      <c r="C95" s="663"/>
      <c r="D95" s="670"/>
      <c r="F95" s="670"/>
    </row>
    <row r="96" spans="3:6" ht="15.75">
      <c r="C96" s="663"/>
      <c r="D96" s="670"/>
      <c r="F96" s="670"/>
    </row>
    <row r="97" spans="3:6" ht="15.75">
      <c r="C97" s="663"/>
      <c r="D97" s="670"/>
      <c r="F97" s="670"/>
    </row>
    <row r="98" spans="3:6" ht="15.75">
      <c r="C98" s="663"/>
      <c r="D98" s="670"/>
      <c r="F98" s="670"/>
    </row>
    <row r="99" spans="3:6" ht="15.75">
      <c r="C99" s="663"/>
      <c r="D99" s="670"/>
      <c r="F99" s="670"/>
    </row>
    <row r="100" spans="3:6" ht="15.75">
      <c r="C100" s="663"/>
      <c r="D100" s="670"/>
      <c r="F100" s="670"/>
    </row>
    <row r="101" spans="3:6" ht="15.75">
      <c r="C101" s="663"/>
      <c r="D101" s="670"/>
      <c r="F101" s="670"/>
    </row>
    <row r="102" spans="3:6" ht="15.75">
      <c r="C102" s="663"/>
      <c r="D102" s="670"/>
      <c r="F102" s="670"/>
    </row>
    <row r="103" spans="3:6" ht="15.75">
      <c r="C103" s="663"/>
      <c r="D103" s="670"/>
      <c r="F103" s="670"/>
    </row>
    <row r="104" spans="3:6" ht="15.75">
      <c r="C104" s="663"/>
      <c r="D104" s="670"/>
      <c r="F104" s="670"/>
    </row>
    <row r="105" spans="3:6" ht="15.75">
      <c r="C105" s="663"/>
      <c r="D105" s="670"/>
      <c r="F105" s="670"/>
    </row>
    <row r="106" spans="3:6" ht="15.75">
      <c r="C106" s="663"/>
      <c r="D106" s="670"/>
      <c r="F106" s="670"/>
    </row>
    <row r="107" spans="3:6" ht="15.75">
      <c r="C107" s="663"/>
      <c r="D107" s="670"/>
      <c r="F107" s="670"/>
    </row>
    <row r="108" spans="3:6" ht="15.75">
      <c r="C108" s="663"/>
      <c r="D108" s="670"/>
      <c r="F108" s="670"/>
    </row>
    <row r="109" spans="3:6" ht="15.75">
      <c r="C109" s="663"/>
      <c r="D109" s="670"/>
      <c r="F109" s="670"/>
    </row>
    <row r="110" spans="3:6" ht="15.75">
      <c r="C110" s="663"/>
      <c r="D110" s="670"/>
      <c r="F110" s="670"/>
    </row>
    <row r="111" spans="3:6" ht="15.75">
      <c r="C111" s="663"/>
      <c r="D111" s="670"/>
      <c r="F111" s="670"/>
    </row>
    <row r="112" spans="3:6" ht="15.75">
      <c r="C112" s="663"/>
      <c r="D112" s="670"/>
      <c r="F112" s="670"/>
    </row>
    <row r="113" spans="3:6" ht="15.75">
      <c r="C113" s="663"/>
      <c r="D113" s="670"/>
      <c r="F113" s="670"/>
    </row>
  </sheetData>
  <sheetProtection/>
  <mergeCells count="2">
    <mergeCell ref="A52:F52"/>
    <mergeCell ref="A48:F48"/>
  </mergeCells>
  <printOptions/>
  <pageMargins left="0.62" right="0.48" top="0.48" bottom="0.29" header="0.5" footer="0.26"/>
  <pageSetup firstPageNumber="15" useFirstPageNumber="1" horizontalDpi="600" verticalDpi="600" orientation="portrait" paperSize="9" scale="93" r:id="rId1"/>
  <headerFooter alignWithMargins="0">
    <oddFooter>&amp;R&amp;P</oddFooter>
  </headerFooter>
  <rowBreaks count="5" manualBreakCount="5">
    <brk id="138" max="11" man="1"/>
    <brk id="219" max="11" man="1"/>
    <brk id="292" max="11" man="1"/>
    <brk id="368" max="11" man="1"/>
    <brk id="448" max="11" man="1"/>
  </rowBreaks>
</worksheet>
</file>

<file path=xl/worksheets/sheet8.xml><?xml version="1.0" encoding="utf-8"?>
<worksheet xmlns="http://schemas.openxmlformats.org/spreadsheetml/2006/main" xmlns:r="http://schemas.openxmlformats.org/officeDocument/2006/relationships">
  <dimension ref="A1:L39"/>
  <sheetViews>
    <sheetView zoomScalePageLayoutView="0" workbookViewId="0" topLeftCell="A11">
      <selection activeCell="G35" sqref="G35"/>
    </sheetView>
  </sheetViews>
  <sheetFormatPr defaultColWidth="9.00390625" defaultRowHeight="15.75"/>
  <cols>
    <col min="1" max="1" width="36.125" style="673" customWidth="1"/>
    <col min="2" max="2" width="0.6171875" style="673" customWidth="1"/>
    <col min="3" max="3" width="14.00390625" style="673" customWidth="1"/>
    <col min="4" max="4" width="0.6171875" style="673" customWidth="1"/>
    <col min="5" max="5" width="11.75390625" style="673" customWidth="1"/>
    <col min="6" max="6" width="0.74609375" style="673" customWidth="1"/>
    <col min="7" max="7" width="12.25390625" style="673" customWidth="1"/>
    <col min="8" max="8" width="0.74609375" style="673" customWidth="1"/>
    <col min="9" max="9" width="12.25390625" style="673" bestFit="1" customWidth="1"/>
    <col min="10" max="10" width="0.6171875" style="673" customWidth="1"/>
    <col min="11" max="11" width="9.00390625" style="673" customWidth="1"/>
    <col min="12" max="12" width="14.50390625" style="673" bestFit="1" customWidth="1"/>
    <col min="13" max="16384" width="9.00390625" style="673" customWidth="1"/>
  </cols>
  <sheetData>
    <row r="1" ht="15.75">
      <c r="A1" s="667" t="str">
        <f>'IS'!A1</f>
        <v>THE UNITED REPUBLIC OF TANZANIA</v>
      </c>
    </row>
    <row r="2" ht="15.75">
      <c r="A2" s="667" t="str">
        <f>'IS'!A2</f>
        <v>PRRESIDENT’S OFFICE - REGIONAL ADMINISTRATION AND LOCAL GOVERNMENT</v>
      </c>
    </row>
    <row r="3" ht="15.75">
      <c r="A3" s="667" t="str">
        <f>'IS'!A3</f>
        <v>BABATI DISTRICT COUNCIL</v>
      </c>
    </row>
    <row r="4" ht="15.75">
      <c r="A4" s="667"/>
    </row>
    <row r="5" spans="1:9" ht="15.75">
      <c r="A5" s="692" t="s">
        <v>1568</v>
      </c>
      <c r="B5" s="692"/>
      <c r="C5" s="692"/>
      <c r="D5" s="692"/>
      <c r="E5" s="692"/>
      <c r="F5" s="692"/>
      <c r="G5" s="692"/>
      <c r="H5" s="692"/>
      <c r="I5" s="692"/>
    </row>
    <row r="6" spans="1:11" ht="15.75">
      <c r="A6" s="667" t="str">
        <f>'IS'!A6</f>
        <v>FOR THE YEAR ENDED 30 JUNE 2016</v>
      </c>
      <c r="B6" s="692"/>
      <c r="D6" s="692"/>
      <c r="E6" s="692"/>
      <c r="F6" s="692"/>
      <c r="G6" s="692"/>
      <c r="H6" s="692"/>
      <c r="I6" s="692"/>
      <c r="J6" s="692"/>
      <c r="K6" s="692"/>
    </row>
    <row r="7" spans="1:11" ht="15.75">
      <c r="A7" s="667"/>
      <c r="B7" s="692"/>
      <c r="C7" s="664"/>
      <c r="D7" s="692"/>
      <c r="E7" s="692"/>
      <c r="F7" s="692"/>
      <c r="G7" s="692"/>
      <c r="H7" s="692"/>
      <c r="I7" s="692"/>
      <c r="J7" s="692"/>
      <c r="K7" s="692"/>
    </row>
    <row r="8" spans="1:11" ht="15.75">
      <c r="A8" s="664" t="s">
        <v>973</v>
      </c>
      <c r="B8" s="692"/>
      <c r="C8" s="664"/>
      <c r="D8" s="692"/>
      <c r="E8" s="692"/>
      <c r="F8" s="692"/>
      <c r="G8" s="692"/>
      <c r="H8" s="692"/>
      <c r="I8" s="692"/>
      <c r="J8" s="692"/>
      <c r="K8" s="692"/>
    </row>
    <row r="9" spans="1:11" ht="15.75">
      <c r="A9" s="693" t="s">
        <v>974</v>
      </c>
      <c r="B9" s="692"/>
      <c r="C9" s="664"/>
      <c r="D9" s="692"/>
      <c r="E9" s="692"/>
      <c r="F9" s="692"/>
      <c r="G9" s="692"/>
      <c r="H9" s="692"/>
      <c r="I9" s="692"/>
      <c r="J9" s="692"/>
      <c r="K9" s="692"/>
    </row>
    <row r="10" spans="1:9" s="698" customFormat="1" ht="31.5">
      <c r="A10" s="694"/>
      <c r="B10" s="694"/>
      <c r="C10" s="695" t="s">
        <v>1333</v>
      </c>
      <c r="D10" s="696"/>
      <c r="E10" s="695" t="s">
        <v>1334</v>
      </c>
      <c r="F10" s="696"/>
      <c r="G10" s="695" t="s">
        <v>1332</v>
      </c>
      <c r="H10" s="697"/>
      <c r="I10" s="695" t="s">
        <v>1335</v>
      </c>
    </row>
    <row r="11" spans="1:12" ht="15.75">
      <c r="A11" s="694"/>
      <c r="B11" s="694"/>
      <c r="C11" s="696" t="s">
        <v>1202</v>
      </c>
      <c r="D11" s="696"/>
      <c r="E11" s="696" t="s">
        <v>1202</v>
      </c>
      <c r="F11" s="696"/>
      <c r="G11" s="696" t="s">
        <v>1202</v>
      </c>
      <c r="H11" s="696"/>
      <c r="I11" s="696" t="s">
        <v>1202</v>
      </c>
      <c r="L11" s="699"/>
    </row>
    <row r="12" spans="1:12" ht="15.75">
      <c r="A12" s="700" t="s">
        <v>1084</v>
      </c>
      <c r="B12" s="694"/>
      <c r="C12" s="701"/>
      <c r="D12" s="701"/>
      <c r="E12" s="701"/>
      <c r="F12" s="701"/>
      <c r="G12" s="701"/>
      <c r="H12" s="701"/>
      <c r="I12" s="701"/>
      <c r="L12" s="699"/>
    </row>
    <row r="13" spans="1:12" ht="15.75">
      <c r="A13" s="683" t="s">
        <v>372</v>
      </c>
      <c r="B13" s="694"/>
      <c r="C13" s="702">
        <v>698619</v>
      </c>
      <c r="D13" s="702"/>
      <c r="E13" s="702">
        <f aca="true" t="shared" si="0" ref="E13:E18">C13</f>
        <v>698619</v>
      </c>
      <c r="F13" s="702"/>
      <c r="G13" s="702">
        <f>'IS'!C10</f>
        <v>574211.52863</v>
      </c>
      <c r="H13" s="702"/>
      <c r="I13" s="702">
        <f aca="true" t="shared" si="1" ref="I13:I18">E13-G13</f>
        <v>124407.47137000004</v>
      </c>
      <c r="L13" s="703"/>
    </row>
    <row r="14" spans="1:12" ht="15.75">
      <c r="A14" s="683" t="s">
        <v>438</v>
      </c>
      <c r="B14" s="694"/>
      <c r="C14" s="702">
        <f>(390345000+16000000+92990000)/1000</f>
        <v>499335</v>
      </c>
      <c r="D14" s="702"/>
      <c r="E14" s="702">
        <f t="shared" si="0"/>
        <v>499335</v>
      </c>
      <c r="F14" s="702"/>
      <c r="G14" s="702">
        <f>'IS'!C11</f>
        <v>484452.3766</v>
      </c>
      <c r="H14" s="702"/>
      <c r="I14" s="702">
        <f t="shared" si="1"/>
        <v>14882.623399999982</v>
      </c>
      <c r="L14" s="699"/>
    </row>
    <row r="15" spans="1:12" ht="15.75">
      <c r="A15" s="704" t="s">
        <v>748</v>
      </c>
      <c r="B15" s="694"/>
      <c r="C15" s="702">
        <f>(2670411000+22560857000+14849000+61592000+714860000+3362202000+463064000+67540000+57369000+500000000)/1000+2000000</f>
        <v>32472744</v>
      </c>
      <c r="D15" s="702"/>
      <c r="E15" s="702">
        <f t="shared" si="0"/>
        <v>32472744</v>
      </c>
      <c r="F15" s="702"/>
      <c r="G15" s="702">
        <f>'IS'!C12</f>
        <v>30614944</v>
      </c>
      <c r="H15" s="702"/>
      <c r="I15" s="702">
        <f t="shared" si="1"/>
        <v>1857800</v>
      </c>
      <c r="L15" s="699"/>
    </row>
    <row r="16" spans="1:12" ht="15.75">
      <c r="A16" s="704" t="s">
        <v>439</v>
      </c>
      <c r="B16" s="694"/>
      <c r="C16" s="702">
        <f>(37820000-16000000)/1000</f>
        <v>21820</v>
      </c>
      <c r="D16" s="702"/>
      <c r="E16" s="702">
        <f t="shared" si="0"/>
        <v>21820</v>
      </c>
      <c r="F16" s="702"/>
      <c r="G16" s="702">
        <f>'IS'!C13</f>
        <v>13825</v>
      </c>
      <c r="H16" s="702"/>
      <c r="I16" s="702">
        <f t="shared" si="1"/>
        <v>7995</v>
      </c>
      <c r="L16" s="699"/>
    </row>
    <row r="17" spans="1:12" ht="15.75">
      <c r="A17" s="704" t="s">
        <v>1831</v>
      </c>
      <c r="B17" s="694"/>
      <c r="C17" s="702">
        <v>0</v>
      </c>
      <c r="D17" s="702"/>
      <c r="E17" s="702">
        <f t="shared" si="0"/>
        <v>0</v>
      </c>
      <c r="F17" s="702"/>
      <c r="G17" s="702">
        <f>'IS'!C14</f>
        <v>2406803.881294061</v>
      </c>
      <c r="H17" s="702"/>
      <c r="I17" s="702">
        <f t="shared" si="1"/>
        <v>-2406803.881294061</v>
      </c>
      <c r="L17" s="699"/>
    </row>
    <row r="18" spans="1:12" ht="15.75">
      <c r="A18" s="683" t="s">
        <v>1866</v>
      </c>
      <c r="B18" s="694"/>
      <c r="C18" s="702">
        <f>1138750000/1000</f>
        <v>1138750</v>
      </c>
      <c r="D18" s="702"/>
      <c r="E18" s="702">
        <f t="shared" si="0"/>
        <v>1138750</v>
      </c>
      <c r="F18" s="702"/>
      <c r="G18" s="702">
        <f>'IS'!C15</f>
        <v>872788.36728</v>
      </c>
      <c r="H18" s="702"/>
      <c r="I18" s="702">
        <f t="shared" si="1"/>
        <v>265961.63272</v>
      </c>
      <c r="L18" s="705"/>
    </row>
    <row r="19" spans="1:9" ht="15.75">
      <c r="A19" s="690"/>
      <c r="B19" s="690"/>
      <c r="C19" s="706">
        <f>SUM(C13:C18)</f>
        <v>34831268</v>
      </c>
      <c r="D19" s="707"/>
      <c r="E19" s="706">
        <f>SUM(E13:E18)</f>
        <v>34831268</v>
      </c>
      <c r="F19" s="707"/>
      <c r="G19" s="706">
        <f>SUM(G13:G18)</f>
        <v>34967025.153804064</v>
      </c>
      <c r="H19" s="707"/>
      <c r="I19" s="706">
        <f>SUM(I13:I18)</f>
        <v>-135757.1538040609</v>
      </c>
    </row>
    <row r="20" spans="1:12" ht="15.75">
      <c r="A20" s="690"/>
      <c r="B20" s="690"/>
      <c r="C20" s="707"/>
      <c r="D20" s="707"/>
      <c r="E20" s="707"/>
      <c r="F20" s="707"/>
      <c r="G20" s="707"/>
      <c r="H20" s="707"/>
      <c r="I20" s="707"/>
      <c r="L20" s="699"/>
    </row>
    <row r="21" spans="1:9" ht="15.75">
      <c r="A21" s="708" t="s">
        <v>1522</v>
      </c>
      <c r="B21" s="694"/>
      <c r="C21" s="702"/>
      <c r="D21" s="702"/>
      <c r="E21" s="702"/>
      <c r="F21" s="702"/>
      <c r="G21" s="702"/>
      <c r="H21" s="702"/>
      <c r="I21" s="702"/>
    </row>
    <row r="22" spans="1:9" ht="15.75">
      <c r="A22" s="683" t="s">
        <v>705</v>
      </c>
      <c r="B22" s="694"/>
      <c r="C22" s="702">
        <f>26094561-15487-207582+2000000</f>
        <v>27871492</v>
      </c>
      <c r="D22" s="702"/>
      <c r="E22" s="702">
        <f>C22</f>
        <v>27871492</v>
      </c>
      <c r="F22" s="702"/>
      <c r="G22" s="702">
        <f>'IS'!C19</f>
        <v>25097615.36925</v>
      </c>
      <c r="H22" s="702"/>
      <c r="I22" s="702">
        <f>E22-G22+1</f>
        <v>2773877.6307500005</v>
      </c>
    </row>
    <row r="23" spans="1:9" ht="15.75">
      <c r="A23" s="683" t="s">
        <v>436</v>
      </c>
      <c r="B23" s="694"/>
      <c r="C23" s="702">
        <f>4684595-270</f>
        <v>4684325</v>
      </c>
      <c r="D23" s="702"/>
      <c r="E23" s="702">
        <f>C23</f>
        <v>4684325</v>
      </c>
      <c r="F23" s="702"/>
      <c r="G23" s="702">
        <f>'IS'!C20</f>
        <v>5999015.798760001</v>
      </c>
      <c r="H23" s="702"/>
      <c r="I23" s="702">
        <f>E23-G23-1</f>
        <v>-1314691.7987600006</v>
      </c>
    </row>
    <row r="24" spans="1:9" ht="15.75">
      <c r="A24" s="683" t="s">
        <v>120</v>
      </c>
      <c r="B24" s="694"/>
      <c r="C24" s="702">
        <v>2275451</v>
      </c>
      <c r="D24" s="702"/>
      <c r="E24" s="702">
        <f>C24</f>
        <v>2275451</v>
      </c>
      <c r="F24" s="702"/>
      <c r="G24" s="702">
        <f>'IS'!C21</f>
        <v>1458235.1951400004</v>
      </c>
      <c r="H24" s="702"/>
      <c r="I24" s="702">
        <f>E24-G24-1</f>
        <v>817214.8048599996</v>
      </c>
    </row>
    <row r="25" spans="1:9" ht="15.75">
      <c r="A25" s="683" t="s">
        <v>587</v>
      </c>
      <c r="B25" s="694"/>
      <c r="C25" s="702">
        <v>0</v>
      </c>
      <c r="D25" s="702"/>
      <c r="E25" s="702">
        <v>0</v>
      </c>
      <c r="F25" s="702"/>
      <c r="G25" s="702">
        <f>'IS'!C22</f>
        <v>2406803.881294061</v>
      </c>
      <c r="H25" s="702"/>
      <c r="I25" s="702">
        <f>E25-G25</f>
        <v>-2406803.881294061</v>
      </c>
    </row>
    <row r="26" spans="1:9" ht="15.75">
      <c r="A26" s="690"/>
      <c r="B26" s="690"/>
      <c r="C26" s="709">
        <f>SUM(C22:C25)</f>
        <v>34831268</v>
      </c>
      <c r="D26" s="707"/>
      <c r="E26" s="709">
        <f>SUM(E22:E25)</f>
        <v>34831268</v>
      </c>
      <c r="F26" s="707"/>
      <c r="G26" s="709">
        <f>SUM(G22:G25)</f>
        <v>34961670.244444065</v>
      </c>
      <c r="H26" s="707"/>
      <c r="I26" s="709">
        <f>SUM(I22:I25)+1</f>
        <v>-130402.24444406154</v>
      </c>
    </row>
    <row r="27" spans="1:9" ht="15.75">
      <c r="A27" s="710"/>
      <c r="B27" s="694"/>
      <c r="C27" s="711"/>
      <c r="D27" s="702"/>
      <c r="E27" s="702"/>
      <c r="F27" s="702"/>
      <c r="G27" s="702"/>
      <c r="H27" s="702"/>
      <c r="I27" s="702"/>
    </row>
    <row r="28" spans="1:12" ht="15.75">
      <c r="A28" s="704" t="s">
        <v>75</v>
      </c>
      <c r="B28" s="694"/>
      <c r="C28" s="702">
        <v>0</v>
      </c>
      <c r="D28" s="702"/>
      <c r="E28" s="702">
        <v>0</v>
      </c>
      <c r="F28" s="702"/>
      <c r="G28" s="702">
        <v>0</v>
      </c>
      <c r="H28" s="702"/>
      <c r="I28" s="702">
        <v>0</v>
      </c>
      <c r="L28" s="679"/>
    </row>
    <row r="29" spans="1:9" ht="15.75">
      <c r="A29" s="704"/>
      <c r="B29" s="694"/>
      <c r="C29" s="702"/>
      <c r="D29" s="702"/>
      <c r="E29" s="702"/>
      <c r="F29" s="702"/>
      <c r="G29" s="702"/>
      <c r="H29" s="702"/>
      <c r="I29" s="702"/>
    </row>
    <row r="30" spans="1:9" ht="15.75">
      <c r="A30" s="700" t="s">
        <v>1571</v>
      </c>
      <c r="B30" s="690"/>
      <c r="C30" s="702">
        <v>0</v>
      </c>
      <c r="D30" s="702"/>
      <c r="E30" s="702">
        <v>0</v>
      </c>
      <c r="F30" s="707"/>
      <c r="G30" s="709">
        <f>G19-G26+G28</f>
        <v>5354.909359999001</v>
      </c>
      <c r="H30" s="707"/>
      <c r="I30" s="709">
        <f>I19-I26+I28</f>
        <v>-5354.90935999935</v>
      </c>
    </row>
    <row r="31" spans="1:9" ht="15.75">
      <c r="A31" s="689"/>
      <c r="B31" s="694"/>
      <c r="C31" s="702"/>
      <c r="D31" s="702"/>
      <c r="E31" s="702"/>
      <c r="F31" s="702"/>
      <c r="G31" s="702"/>
      <c r="H31" s="702"/>
      <c r="I31" s="702"/>
    </row>
    <row r="32" spans="3:7" ht="15.75">
      <c r="C32" s="679"/>
      <c r="G32" s="671"/>
    </row>
    <row r="33" ht="15.75">
      <c r="A33" s="673" t="s">
        <v>255</v>
      </c>
    </row>
    <row r="34" ht="15.75">
      <c r="A34" s="673" t="s">
        <v>256</v>
      </c>
    </row>
    <row r="37" ht="15.75">
      <c r="G37" s="699"/>
    </row>
    <row r="38" ht="15.75">
      <c r="G38" s="705"/>
    </row>
    <row r="39" ht="15.75">
      <c r="G39" s="699"/>
    </row>
  </sheetData>
  <sheetProtection/>
  <printOptions/>
  <pageMargins left="0.44" right="0.32" top="0.53" bottom="0.85" header="0.5" footer="0.45"/>
  <pageSetup firstPageNumber="20" useFirstPageNumber="1" horizontalDpi="1200" verticalDpi="1200" orientation="portrait" paperSize="9"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dimension ref="A1:L63"/>
  <sheetViews>
    <sheetView zoomScalePageLayoutView="0" workbookViewId="0" topLeftCell="A28">
      <selection activeCell="K45" sqref="K45"/>
    </sheetView>
  </sheetViews>
  <sheetFormatPr defaultColWidth="9.00390625" defaultRowHeight="15.75"/>
  <cols>
    <col min="1" max="1" width="34.625" style="436" customWidth="1"/>
    <col min="2" max="2" width="0.74609375" style="436" hidden="1" customWidth="1"/>
    <col min="3" max="3" width="12.50390625" style="436" customWidth="1"/>
    <col min="4" max="4" width="0.5" style="436" customWidth="1"/>
    <col min="5" max="5" width="14.125" style="436" customWidth="1"/>
    <col min="6" max="6" width="0.6171875" style="436" customWidth="1"/>
    <col min="7" max="7" width="12.875" style="436" customWidth="1"/>
    <col min="8" max="8" width="0.74609375" style="436" customWidth="1"/>
    <col min="9" max="9" width="12.25390625" style="436" bestFit="1" customWidth="1"/>
    <col min="10" max="10" width="1.25" style="436" customWidth="1"/>
    <col min="11" max="11" width="11.125" style="436" customWidth="1"/>
    <col min="12" max="16384" width="9.00390625" style="436" customWidth="1"/>
  </cols>
  <sheetData>
    <row r="1" ht="15.75">
      <c r="A1" s="435" t="str">
        <f>'IS'!A1</f>
        <v>THE UNITED REPUBLIC OF TANZANIA</v>
      </c>
    </row>
    <row r="2" ht="15.75">
      <c r="A2" s="435" t="str">
        <f>'IS'!A2</f>
        <v>PRRESIDENT’S OFFICE - REGIONAL ADMINISTRATION AND LOCAL GOVERNMENT</v>
      </c>
    </row>
    <row r="3" ht="15.75">
      <c r="A3" s="435" t="str">
        <f>'IS'!A3</f>
        <v>BABATI DISTRICT COUNCIL</v>
      </c>
    </row>
    <row r="4" ht="15.75">
      <c r="A4" s="435"/>
    </row>
    <row r="5" spans="1:9" ht="15.75">
      <c r="A5" s="471" t="s">
        <v>1569</v>
      </c>
      <c r="B5" s="471"/>
      <c r="C5" s="471"/>
      <c r="D5" s="471"/>
      <c r="E5" s="471"/>
      <c r="F5" s="471"/>
      <c r="G5" s="471"/>
      <c r="H5" s="471"/>
      <c r="I5" s="471"/>
    </row>
    <row r="6" spans="1:11" ht="15.75">
      <c r="A6" s="435" t="str">
        <f>'IS'!A6</f>
        <v>FOR THE YEAR ENDED 30 JUNE 2016</v>
      </c>
      <c r="B6" s="471"/>
      <c r="C6" s="471"/>
      <c r="D6" s="471"/>
      <c r="E6" s="471"/>
      <c r="F6" s="471"/>
      <c r="G6" s="471"/>
      <c r="H6" s="471"/>
      <c r="I6" s="471"/>
      <c r="J6" s="471"/>
      <c r="K6" s="471"/>
    </row>
    <row r="7" spans="1:11" ht="15.75">
      <c r="A7" s="469"/>
      <c r="B7" s="469"/>
      <c r="C7" s="469"/>
      <c r="D7" s="469"/>
      <c r="E7" s="469"/>
      <c r="F7" s="469"/>
      <c r="G7" s="469"/>
      <c r="H7" s="469"/>
      <c r="I7" s="469"/>
      <c r="J7" s="469"/>
      <c r="K7" s="469"/>
    </row>
    <row r="8" ht="15.75">
      <c r="A8" s="412" t="s">
        <v>973</v>
      </c>
    </row>
    <row r="9" ht="15.75">
      <c r="A9" s="563" t="s">
        <v>974</v>
      </c>
    </row>
    <row r="10" spans="1:9" s="472" customFormat="1" ht="31.5">
      <c r="A10" s="451"/>
      <c r="B10" s="451"/>
      <c r="C10" s="476" t="s">
        <v>1333</v>
      </c>
      <c r="D10" s="455"/>
      <c r="E10" s="476" t="s">
        <v>1334</v>
      </c>
      <c r="F10" s="455"/>
      <c r="G10" s="476" t="s">
        <v>1332</v>
      </c>
      <c r="H10" s="474"/>
      <c r="I10" s="476" t="s">
        <v>1335</v>
      </c>
    </row>
    <row r="11" spans="1:9" ht="15.75">
      <c r="A11" s="451"/>
      <c r="B11" s="451"/>
      <c r="C11" s="455" t="s">
        <v>1202</v>
      </c>
      <c r="D11" s="455"/>
      <c r="E11" s="455" t="s">
        <v>1202</v>
      </c>
      <c r="F11" s="455"/>
      <c r="G11" s="455" t="s">
        <v>1202</v>
      </c>
      <c r="H11" s="455"/>
      <c r="I11" s="455" t="s">
        <v>1202</v>
      </c>
    </row>
    <row r="12" spans="1:9" ht="15.75">
      <c r="A12" s="445" t="s">
        <v>1084</v>
      </c>
      <c r="B12" s="451"/>
      <c r="C12" s="454"/>
      <c r="D12" s="454"/>
      <c r="E12" s="454"/>
      <c r="F12" s="454"/>
      <c r="G12" s="454"/>
      <c r="H12" s="454"/>
      <c r="I12" s="454"/>
    </row>
    <row r="13" spans="1:12" ht="15.75">
      <c r="A13" s="450" t="s">
        <v>437</v>
      </c>
      <c r="B13" s="451"/>
      <c r="C13" s="570">
        <f>BudVsActN!C13</f>
        <v>698619</v>
      </c>
      <c r="D13" s="570"/>
      <c r="E13" s="570">
        <f>BudVsActN!E13</f>
        <v>698619</v>
      </c>
      <c r="F13" s="570"/>
      <c r="G13" s="570">
        <f>'IS'!C10</f>
        <v>574211.52863</v>
      </c>
      <c r="H13" s="570"/>
      <c r="I13" s="570">
        <f aca="true" t="shared" si="0" ref="I13:I18">E13-G13</f>
        <v>124407.47137000004</v>
      </c>
      <c r="L13" s="473"/>
    </row>
    <row r="14" spans="1:9" ht="15.75">
      <c r="A14" s="450" t="s">
        <v>438</v>
      </c>
      <c r="B14" s="451"/>
      <c r="C14" s="570">
        <f>BudVsActN!C14</f>
        <v>499335</v>
      </c>
      <c r="D14" s="570"/>
      <c r="E14" s="570">
        <f>BudVsActN!E14</f>
        <v>499335</v>
      </c>
      <c r="F14" s="570"/>
      <c r="G14" s="570">
        <f>'IS'!C11</f>
        <v>484452.3766</v>
      </c>
      <c r="H14" s="570"/>
      <c r="I14" s="570">
        <f t="shared" si="0"/>
        <v>14882.623399999982</v>
      </c>
    </row>
    <row r="15" spans="1:9" ht="15.75">
      <c r="A15" s="447" t="s">
        <v>748</v>
      </c>
      <c r="B15" s="451"/>
      <c r="C15" s="570">
        <f>BudVsActN!C15</f>
        <v>32472744</v>
      </c>
      <c r="D15" s="570"/>
      <c r="E15" s="570">
        <f>BudVsActN!E15</f>
        <v>32472744</v>
      </c>
      <c r="F15" s="570"/>
      <c r="G15" s="570">
        <f>BudVsActN!G15</f>
        <v>30614944</v>
      </c>
      <c r="H15" s="570"/>
      <c r="I15" s="570">
        <f t="shared" si="0"/>
        <v>1857800</v>
      </c>
    </row>
    <row r="16" spans="1:9" ht="15.75">
      <c r="A16" s="464" t="s">
        <v>439</v>
      </c>
      <c r="B16" s="451"/>
      <c r="C16" s="570">
        <f>BudVsActN!C16</f>
        <v>21820</v>
      </c>
      <c r="D16" s="570"/>
      <c r="E16" s="570">
        <f>BudVsActN!E16</f>
        <v>21820</v>
      </c>
      <c r="F16" s="570"/>
      <c r="G16" s="570">
        <f>'IS'!C13</f>
        <v>13825</v>
      </c>
      <c r="H16" s="570"/>
      <c r="I16" s="570">
        <f t="shared" si="0"/>
        <v>7995</v>
      </c>
    </row>
    <row r="17" spans="1:9" ht="15.75">
      <c r="A17" s="464" t="s">
        <v>1831</v>
      </c>
      <c r="B17" s="451"/>
      <c r="C17" s="570">
        <v>0</v>
      </c>
      <c r="D17" s="570"/>
      <c r="E17" s="570">
        <v>0</v>
      </c>
      <c r="F17" s="570"/>
      <c r="G17" s="570">
        <f>'IS'!C22</f>
        <v>2406803.881294061</v>
      </c>
      <c r="H17" s="570"/>
      <c r="I17" s="570">
        <f t="shared" si="0"/>
        <v>-2406803.881294061</v>
      </c>
    </row>
    <row r="18" spans="1:9" ht="15.75">
      <c r="A18" s="450" t="s">
        <v>1521</v>
      </c>
      <c r="B18" s="451"/>
      <c r="C18" s="570">
        <f>BudVsActN!C18</f>
        <v>1138750</v>
      </c>
      <c r="D18" s="570"/>
      <c r="E18" s="570">
        <f>BudVsActN!E18</f>
        <v>1138750</v>
      </c>
      <c r="F18" s="570"/>
      <c r="G18" s="570">
        <f>'IS'!C15</f>
        <v>872788.36728</v>
      </c>
      <c r="H18" s="570"/>
      <c r="I18" s="570">
        <f t="shared" si="0"/>
        <v>265961.63272</v>
      </c>
    </row>
    <row r="19" spans="1:9" ht="15.75">
      <c r="A19" s="448"/>
      <c r="B19" s="448"/>
      <c r="C19" s="571">
        <f>SUM(C13:C18)</f>
        <v>34831268</v>
      </c>
      <c r="D19" s="498"/>
      <c r="E19" s="571">
        <f>SUM(E13:E18)</f>
        <v>34831268</v>
      </c>
      <c r="F19" s="498"/>
      <c r="G19" s="571">
        <f>SUM(G13:G18)</f>
        <v>34967025.153804064</v>
      </c>
      <c r="H19" s="498"/>
      <c r="I19" s="571">
        <f>SUM(I13:I18)</f>
        <v>-135757.1538040609</v>
      </c>
    </row>
    <row r="20" spans="1:9" ht="15.75">
      <c r="A20" s="616"/>
      <c r="B20" s="448"/>
      <c r="C20" s="498"/>
      <c r="D20" s="453"/>
      <c r="E20" s="453"/>
      <c r="F20" s="453"/>
      <c r="G20" s="453"/>
      <c r="H20" s="453"/>
      <c r="I20" s="453"/>
    </row>
    <row r="21" spans="1:9" ht="15.75">
      <c r="A21" s="452" t="s">
        <v>1522</v>
      </c>
      <c r="B21" s="451"/>
      <c r="C21" s="619"/>
      <c r="D21" s="454"/>
      <c r="E21" s="454"/>
      <c r="F21" s="454"/>
      <c r="G21" s="619"/>
      <c r="H21" s="454"/>
      <c r="I21" s="454"/>
    </row>
    <row r="22" spans="1:9" ht="16.5">
      <c r="A22" s="450" t="s">
        <v>1570</v>
      </c>
      <c r="B22" s="451"/>
      <c r="C22" s="630">
        <v>3875561</v>
      </c>
      <c r="D22" s="570"/>
      <c r="E22" s="630">
        <f>C22</f>
        <v>3875561</v>
      </c>
      <c r="F22" s="570"/>
      <c r="G22" s="614">
        <f>1784524+766638</f>
        <v>2551162</v>
      </c>
      <c r="H22" s="570"/>
      <c r="I22" s="570">
        <f>E22-G22</f>
        <v>1324399</v>
      </c>
    </row>
    <row r="23" spans="1:11" ht="31.5">
      <c r="A23" s="450" t="s">
        <v>1869</v>
      </c>
      <c r="B23" s="451"/>
      <c r="C23" s="630">
        <v>74841</v>
      </c>
      <c r="D23" s="570"/>
      <c r="E23" s="630">
        <f aca="true" t="shared" si="1" ref="E23:E35">C23</f>
        <v>74841</v>
      </c>
      <c r="F23" s="570"/>
      <c r="G23" s="614">
        <v>61482</v>
      </c>
      <c r="H23" s="570"/>
      <c r="I23" s="570">
        <f aca="true" t="shared" si="2" ref="I23:I36">E23-G23</f>
        <v>13359</v>
      </c>
      <c r="K23" s="618"/>
    </row>
    <row r="24" spans="1:9" ht="16.5">
      <c r="A24" s="450" t="s">
        <v>3</v>
      </c>
      <c r="B24" s="451"/>
      <c r="C24" s="630">
        <v>154786</v>
      </c>
      <c r="D24" s="570"/>
      <c r="E24" s="630">
        <f t="shared" si="1"/>
        <v>154786</v>
      </c>
      <c r="F24" s="570"/>
      <c r="G24" s="614">
        <v>124851</v>
      </c>
      <c r="H24" s="570"/>
      <c r="I24" s="570">
        <f t="shared" si="2"/>
        <v>29935</v>
      </c>
    </row>
    <row r="25" spans="1:11" ht="16.5">
      <c r="A25" s="450" t="s">
        <v>1870</v>
      </c>
      <c r="B25" s="451"/>
      <c r="C25" s="630">
        <v>168745</v>
      </c>
      <c r="D25" s="570"/>
      <c r="E25" s="630">
        <f t="shared" si="1"/>
        <v>168745</v>
      </c>
      <c r="F25" s="570"/>
      <c r="G25" s="614">
        <v>134892</v>
      </c>
      <c r="H25" s="570"/>
      <c r="I25" s="570">
        <f t="shared" si="2"/>
        <v>33853</v>
      </c>
      <c r="K25" s="618"/>
    </row>
    <row r="26" spans="1:9" ht="16.5">
      <c r="A26" s="450" t="s">
        <v>1871</v>
      </c>
      <c r="B26" s="451"/>
      <c r="C26" s="630">
        <v>254846</v>
      </c>
      <c r="D26" s="570"/>
      <c r="E26" s="630">
        <f t="shared" si="1"/>
        <v>254846</v>
      </c>
      <c r="F26" s="570"/>
      <c r="G26" s="614">
        <v>78451</v>
      </c>
      <c r="H26" s="570"/>
      <c r="I26" s="570">
        <f t="shared" si="2"/>
        <v>176395</v>
      </c>
    </row>
    <row r="27" spans="1:9" ht="16.5">
      <c r="A27" s="450" t="s">
        <v>1872</v>
      </c>
      <c r="B27" s="451"/>
      <c r="C27" s="630">
        <f>(361500000+49131000)/1000</f>
        <v>410631</v>
      </c>
      <c r="D27" s="570"/>
      <c r="E27" s="630">
        <f t="shared" si="1"/>
        <v>410631</v>
      </c>
      <c r="F27" s="570"/>
      <c r="G27" s="614">
        <v>134586</v>
      </c>
      <c r="H27" s="570"/>
      <c r="I27" s="570">
        <f t="shared" si="2"/>
        <v>276045</v>
      </c>
    </row>
    <row r="28" spans="1:9" ht="16.5">
      <c r="A28" s="450" t="s">
        <v>462</v>
      </c>
      <c r="B28" s="451"/>
      <c r="C28" s="630">
        <f>16578515+754205</f>
        <v>17332720</v>
      </c>
      <c r="D28" s="570"/>
      <c r="E28" s="630">
        <f t="shared" si="1"/>
        <v>17332720</v>
      </c>
      <c r="F28" s="570"/>
      <c r="G28" s="614">
        <f>16978542+90195+605485</f>
        <v>17674222</v>
      </c>
      <c r="H28" s="570"/>
      <c r="I28" s="570">
        <f t="shared" si="2"/>
        <v>-341502</v>
      </c>
    </row>
    <row r="29" spans="1:11" ht="16.5">
      <c r="A29" s="450" t="s">
        <v>461</v>
      </c>
      <c r="B29" s="451"/>
      <c r="C29" s="630">
        <f>5321482+232778</f>
        <v>5554260</v>
      </c>
      <c r="D29" s="570"/>
      <c r="E29" s="630">
        <f t="shared" si="1"/>
        <v>5554260</v>
      </c>
      <c r="F29" s="570"/>
      <c r="G29" s="614">
        <v>5347822</v>
      </c>
      <c r="H29" s="570"/>
      <c r="I29" s="570">
        <f t="shared" si="2"/>
        <v>206438</v>
      </c>
      <c r="K29" s="618"/>
    </row>
    <row r="30" spans="1:11" ht="16.5">
      <c r="A30" s="450" t="s">
        <v>1874</v>
      </c>
      <c r="B30" s="451"/>
      <c r="C30" s="630">
        <v>2328419</v>
      </c>
      <c r="D30" s="570"/>
      <c r="E30" s="630">
        <f t="shared" si="1"/>
        <v>2328419</v>
      </c>
      <c r="F30" s="570"/>
      <c r="G30" s="614">
        <v>2147882</v>
      </c>
      <c r="H30" s="570"/>
      <c r="I30" s="570">
        <f t="shared" si="2"/>
        <v>180537</v>
      </c>
      <c r="K30" s="439"/>
    </row>
    <row r="31" spans="1:11" ht="16.5">
      <c r="A31" s="450" t="s">
        <v>1746</v>
      </c>
      <c r="B31" s="451"/>
      <c r="C31" s="630">
        <v>2348755</v>
      </c>
      <c r="D31" s="570"/>
      <c r="E31" s="630">
        <f t="shared" si="1"/>
        <v>2348755</v>
      </c>
      <c r="F31" s="570"/>
      <c r="G31" s="614">
        <f>2121457+89339</f>
        <v>2210796</v>
      </c>
      <c r="H31" s="570"/>
      <c r="I31" s="570">
        <f>E31-G31</f>
        <v>137959</v>
      </c>
      <c r="K31" s="618"/>
    </row>
    <row r="32" spans="1:9" ht="16.5">
      <c r="A32" s="450" t="s">
        <v>1875</v>
      </c>
      <c r="B32" s="451"/>
      <c r="C32" s="630">
        <v>2148754</v>
      </c>
      <c r="D32" s="570"/>
      <c r="E32" s="630">
        <f t="shared" si="1"/>
        <v>2148754</v>
      </c>
      <c r="F32" s="570"/>
      <c r="G32" s="614">
        <v>1978562</v>
      </c>
      <c r="H32" s="570"/>
      <c r="I32" s="570">
        <f t="shared" si="2"/>
        <v>170192</v>
      </c>
    </row>
    <row r="33" spans="1:9" ht="16.5">
      <c r="A33" s="450" t="s">
        <v>1876</v>
      </c>
      <c r="B33" s="451"/>
      <c r="C33" s="630">
        <v>98746</v>
      </c>
      <c r="D33" s="570"/>
      <c r="E33" s="630">
        <f t="shared" si="1"/>
        <v>98746</v>
      </c>
      <c r="F33" s="570"/>
      <c r="G33" s="614">
        <v>42571</v>
      </c>
      <c r="H33" s="570"/>
      <c r="I33" s="570">
        <f t="shared" si="2"/>
        <v>56175</v>
      </c>
    </row>
    <row r="34" spans="1:9" ht="16.5">
      <c r="A34" s="450" t="s">
        <v>1877</v>
      </c>
      <c r="B34" s="451"/>
      <c r="C34" s="630">
        <v>21458</v>
      </c>
      <c r="D34" s="570"/>
      <c r="E34" s="630">
        <f t="shared" si="1"/>
        <v>21458</v>
      </c>
      <c r="F34" s="570"/>
      <c r="G34" s="614">
        <v>19742</v>
      </c>
      <c r="H34" s="570"/>
      <c r="I34" s="570">
        <f t="shared" si="2"/>
        <v>1716</v>
      </c>
    </row>
    <row r="35" spans="1:12" ht="31.5">
      <c r="A35" s="450" t="s">
        <v>1878</v>
      </c>
      <c r="B35" s="451"/>
      <c r="C35" s="630">
        <v>58746</v>
      </c>
      <c r="D35" s="570"/>
      <c r="E35" s="630">
        <f t="shared" si="1"/>
        <v>58746</v>
      </c>
      <c r="F35" s="570"/>
      <c r="G35" s="614">
        <v>47845</v>
      </c>
      <c r="H35" s="570"/>
      <c r="I35" s="570">
        <f t="shared" si="2"/>
        <v>10901</v>
      </c>
      <c r="K35" s="618"/>
      <c r="L35" s="618"/>
    </row>
    <row r="36" spans="1:12" ht="31.5">
      <c r="A36" s="450" t="s">
        <v>2057</v>
      </c>
      <c r="B36" s="451"/>
      <c r="C36" s="681"/>
      <c r="D36" s="570"/>
      <c r="E36" s="630"/>
      <c r="F36" s="570"/>
      <c r="G36" s="570">
        <f>G17</f>
        <v>2406803.881294061</v>
      </c>
      <c r="H36" s="570"/>
      <c r="I36" s="570">
        <f t="shared" si="2"/>
        <v>-2406803.881294061</v>
      </c>
      <c r="K36" s="618"/>
      <c r="L36" s="618"/>
    </row>
    <row r="37" spans="1:12" ht="15.75">
      <c r="A37" s="570"/>
      <c r="B37" s="448"/>
      <c r="C37" s="680">
        <f>SUM(C22:C35)</f>
        <v>34831268</v>
      </c>
      <c r="D37" s="498"/>
      <c r="E37" s="571">
        <f>SUM(E22:E35)</f>
        <v>34831268</v>
      </c>
      <c r="F37" s="498"/>
      <c r="G37" s="571">
        <f>SUM(G22:G36)</f>
        <v>34961669.881294064</v>
      </c>
      <c r="H37" s="498"/>
      <c r="I37" s="571">
        <f>SUM(I22:I36)</f>
        <v>-130401.88129406096</v>
      </c>
      <c r="K37" s="618"/>
      <c r="L37" s="618"/>
    </row>
    <row r="38" spans="1:12" ht="12" customHeight="1">
      <c r="A38" s="617"/>
      <c r="B38" s="451"/>
      <c r="C38" s="570"/>
      <c r="D38" s="570"/>
      <c r="E38" s="570"/>
      <c r="F38" s="570"/>
      <c r="G38" s="570"/>
      <c r="H38" s="570"/>
      <c r="I38" s="570"/>
      <c r="K38" s="684"/>
      <c r="L38" s="618"/>
    </row>
    <row r="39" spans="1:11" ht="15.75">
      <c r="A39" s="464" t="s">
        <v>75</v>
      </c>
      <c r="B39" s="451"/>
      <c r="C39" s="570">
        <f>C19-C37</f>
        <v>0</v>
      </c>
      <c r="D39" s="570">
        <v>0</v>
      </c>
      <c r="E39" s="570">
        <v>0</v>
      </c>
      <c r="F39" s="570"/>
      <c r="G39" s="570">
        <v>0</v>
      </c>
      <c r="H39" s="570"/>
      <c r="I39" s="570">
        <v>0</v>
      </c>
      <c r="K39" s="651"/>
    </row>
    <row r="40" spans="1:11" ht="15.75">
      <c r="A40" s="464"/>
      <c r="B40" s="451"/>
      <c r="C40" s="570"/>
      <c r="D40" s="570"/>
      <c r="E40" s="570"/>
      <c r="F40" s="570"/>
      <c r="G40" s="570"/>
      <c r="H40" s="570"/>
      <c r="I40" s="570"/>
      <c r="K40" s="618"/>
    </row>
    <row r="41" spans="1:9" ht="15.75">
      <c r="A41" s="465" t="s">
        <v>1571</v>
      </c>
      <c r="B41" s="448"/>
      <c r="C41" s="570"/>
      <c r="D41" s="498"/>
      <c r="E41" s="570"/>
      <c r="F41" s="498"/>
      <c r="G41" s="571">
        <f>G19-G37+G39</f>
        <v>5355.272509999573</v>
      </c>
      <c r="H41" s="498"/>
      <c r="I41" s="571">
        <f>I19-I37+I39</f>
        <v>-5355.2725099999225</v>
      </c>
    </row>
    <row r="42" spans="1:9" ht="15.75">
      <c r="A42" s="443"/>
      <c r="B42" s="451"/>
      <c r="C42" s="570"/>
      <c r="D42" s="570"/>
      <c r="E42" s="570"/>
      <c r="F42" s="570"/>
      <c r="G42" s="570"/>
      <c r="H42" s="570"/>
      <c r="I42" s="570"/>
    </row>
    <row r="43" spans="1:9" ht="15.75">
      <c r="A43" s="466" t="s">
        <v>1562</v>
      </c>
      <c r="B43" s="451"/>
      <c r="C43" s="570"/>
      <c r="D43" s="570"/>
      <c r="E43" s="570"/>
      <c r="F43" s="570"/>
      <c r="G43" s="570"/>
      <c r="H43" s="570"/>
      <c r="I43" s="570"/>
    </row>
    <row r="44" spans="1:9" s="418" customFormat="1" ht="16.5">
      <c r="A44" s="650" t="s">
        <v>699</v>
      </c>
      <c r="B44" s="595"/>
      <c r="C44" s="596"/>
      <c r="D44" s="596"/>
      <c r="E44" s="596"/>
      <c r="F44" s="596"/>
      <c r="G44" s="596"/>
      <c r="H44" s="596"/>
      <c r="I44" s="596"/>
    </row>
    <row r="45" spans="1:9" s="418" customFormat="1" ht="15.75">
      <c r="A45" s="595" t="s">
        <v>700</v>
      </c>
      <c r="B45" s="595"/>
      <c r="C45" s="596"/>
      <c r="D45" s="596"/>
      <c r="E45" s="596"/>
      <c r="F45" s="596"/>
      <c r="G45" s="596"/>
      <c r="H45" s="596"/>
      <c r="I45" s="596"/>
    </row>
    <row r="46" spans="1:9" ht="15.75">
      <c r="A46" s="448"/>
      <c r="B46" s="448"/>
      <c r="C46" s="498"/>
      <c r="D46" s="498"/>
      <c r="E46" s="498"/>
      <c r="F46" s="498"/>
      <c r="G46" s="498"/>
      <c r="H46" s="498"/>
      <c r="I46" s="498"/>
    </row>
    <row r="47" ht="15.75">
      <c r="G47" s="618"/>
    </row>
    <row r="51" ht="15.75">
      <c r="G51" s="437"/>
    </row>
    <row r="52" ht="15.75">
      <c r="G52" s="437"/>
    </row>
    <row r="53" ht="15.75">
      <c r="G53" s="651"/>
    </row>
    <row r="54" ht="15.75">
      <c r="G54" s="437"/>
    </row>
    <row r="55" ht="15.75">
      <c r="G55" s="652"/>
    </row>
    <row r="56" ht="15.75">
      <c r="G56" s="651"/>
    </row>
    <row r="58" ht="15.75">
      <c r="G58" s="651"/>
    </row>
    <row r="60" ht="15.75">
      <c r="G60" s="437"/>
    </row>
    <row r="61" ht="15.75">
      <c r="G61" s="437"/>
    </row>
    <row r="63" ht="15.75">
      <c r="G63" s="437"/>
    </row>
  </sheetData>
  <sheetProtection/>
  <printOptions/>
  <pageMargins left="0.47" right="0.32" top="0.54" bottom="0.75" header="0.5" footer="0.45"/>
  <pageSetup firstPageNumber="21" useFirstPageNumber="1" horizontalDpi="1200" verticalDpi="12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YourNameHere</dc:creator>
  <cp:keywords/>
  <dc:description/>
  <cp:lastModifiedBy>USER</cp:lastModifiedBy>
  <cp:lastPrinted>2017-02-03T14:35:07Z</cp:lastPrinted>
  <dcterms:created xsi:type="dcterms:W3CDTF">2005-01-05T11:56:58Z</dcterms:created>
  <dcterms:modified xsi:type="dcterms:W3CDTF">2017-02-21T13:24:36Z</dcterms:modified>
  <cp:category/>
  <cp:version/>
  <cp:contentType/>
  <cp:contentStatus/>
</cp:coreProperties>
</file>